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Users/dbhguru/Desktop/VOLUMES-TRUNK&amp;LIMBS/"/>
    </mc:Choice>
  </mc:AlternateContent>
  <xr:revisionPtr revIDLastSave="0" documentId="8_{8157884E-9574-9C44-9A5E-DFD174598999}" xr6:coauthVersionLast="36" xr6:coauthVersionMax="36" xr10:uidLastSave="{00000000-0000-0000-0000-000000000000}"/>
  <bookViews>
    <workbookView xWindow="2940" yWindow="1620" windowWidth="40280" windowHeight="26020" xr2:uid="{89AA59F0-B0F7-6846-92DB-F39F8F3AE6FD}"/>
  </bookViews>
  <sheets>
    <sheet name="BioMass" sheetId="3" r:id="rId1"/>
    <sheet name="Coeff_1" sheetId="1" r:id="rId2"/>
    <sheet name="Coeff_2" sheetId="2" r:id="rId3"/>
    <sheet name="FF Determination"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3" l="1"/>
  <c r="T2" i="2"/>
  <c r="S2" i="2"/>
  <c r="V2" i="2" s="1"/>
  <c r="M2" i="2"/>
  <c r="L2" i="2"/>
  <c r="K2" i="2"/>
  <c r="J2" i="2"/>
  <c r="I2" i="2"/>
  <c r="N2" i="2" s="1"/>
  <c r="R2" i="2"/>
  <c r="U2" i="2" l="1"/>
  <c r="W2" i="2" s="1"/>
  <c r="Q2" i="2"/>
  <c r="O2" i="2"/>
  <c r="P2" i="2" s="1"/>
  <c r="K6" i="3"/>
  <c r="I2" i="3"/>
  <c r="K2" i="3"/>
  <c r="X2" i="2" l="1"/>
  <c r="L2" i="3"/>
  <c r="Y2" i="2" s="1"/>
  <c r="M27" i="2" l="1"/>
  <c r="P3" i="3" l="1"/>
  <c r="N27" i="2"/>
  <c r="N7" i="2" l="1"/>
  <c r="M11" i="2"/>
  <c r="R8" i="2"/>
  <c r="H42" i="3" l="1"/>
  <c r="J42" i="3"/>
  <c r="K42" i="3" l="1"/>
  <c r="I10" i="3" l="1"/>
  <c r="M12" i="3" l="1"/>
  <c r="M11" i="3"/>
  <c r="N12" i="3" l="1"/>
  <c r="M20" i="3" s="1"/>
  <c r="N11" i="3"/>
  <c r="M16" i="3" s="1"/>
  <c r="R7" i="2"/>
  <c r="L25" i="3"/>
  <c r="L16" i="3" l="1"/>
  <c r="N16" i="3" s="1"/>
  <c r="R9" i="2"/>
  <c r="G10" i="3"/>
  <c r="R6" i="2"/>
  <c r="H10" i="3" l="1"/>
  <c r="L7" i="3"/>
  <c r="R11" i="2"/>
  <c r="K4" i="3"/>
  <c r="L20" i="3" s="1"/>
  <c r="I3" i="3"/>
  <c r="L37" i="2"/>
  <c r="N3" i="3"/>
  <c r="M25" i="3"/>
  <c r="L38" i="2" l="1"/>
  <c r="L33" i="2"/>
  <c r="O6" i="3"/>
  <c r="N29" i="3" s="1"/>
  <c r="L13" i="2"/>
  <c r="L3" i="3"/>
  <c r="K5" i="3"/>
  <c r="K7" i="3" s="1"/>
  <c r="M7" i="3" s="1"/>
  <c r="N20" i="3"/>
  <c r="N22" i="3" s="1"/>
  <c r="L37" i="3"/>
  <c r="L31" i="2" l="1"/>
  <c r="P2" i="3"/>
  <c r="K10" i="3" s="1"/>
  <c r="L39" i="2"/>
  <c r="M3" i="3"/>
  <c r="O3" i="3" s="1"/>
  <c r="L30" i="2"/>
  <c r="L36" i="2"/>
  <c r="M36" i="2" s="1"/>
  <c r="M37" i="2" s="1"/>
  <c r="M38" i="2" s="1"/>
  <c r="N2" i="3" l="1"/>
  <c r="M2" i="3"/>
  <c r="N31" i="3" s="1"/>
  <c r="M39" i="2"/>
  <c r="M33" i="2"/>
  <c r="L34" i="2" s="1"/>
  <c r="O2" i="3" l="1"/>
  <c r="M41" i="2" s="1"/>
  <c r="M42" i="2" s="1"/>
  <c r="O7" i="3"/>
  <c r="N25" i="3"/>
  <c r="N27" i="3" s="1"/>
  <c r="O5" i="3" l="1"/>
  <c r="N34" i="3" l="1"/>
  <c r="N35" i="3" s="1"/>
  <c r="N36" i="3"/>
  <c r="K11" i="3" l="1"/>
  <c r="L38" i="3"/>
</calcChain>
</file>

<file path=xl/sharedStrings.xml><?xml version="1.0" encoding="utf-8"?>
<sst xmlns="http://schemas.openxmlformats.org/spreadsheetml/2006/main" count="214" uniqueCount="188">
  <si>
    <t>X</t>
  </si>
  <si>
    <t>E</t>
  </si>
  <si>
    <t>NIMS_2_1</t>
  </si>
  <si>
    <t>333</t>
  </si>
  <si>
    <t>NIMS_3_0</t>
  </si>
  <si>
    <t>2.4349</t>
  </si>
  <si>
    <t>-2.5356</t>
  </si>
  <si>
    <t>CULL                   (%)</t>
  </si>
  <si>
    <r>
      <t>VOLCFSND            (feet</t>
    </r>
    <r>
      <rPr>
        <b/>
        <vertAlign val="superscript"/>
        <sz val="10"/>
        <rFont val="Arial"/>
        <family val="2"/>
      </rPr>
      <t>3</t>
    </r>
    <r>
      <rPr>
        <b/>
        <sz val="10"/>
        <rFont val="Arial"/>
        <family val="2"/>
      </rPr>
      <t>)</t>
    </r>
  </si>
  <si>
    <t>DRYBIO_BOLE           (lbs)</t>
  </si>
  <si>
    <t>DRYBIO_TOP               (lbs)</t>
  </si>
  <si>
    <t>DRYBIO_STUMP                              (lbs)</t>
  </si>
  <si>
    <t>DRYBIOT               (lbs)</t>
  </si>
  <si>
    <t>FF</t>
  </si>
  <si>
    <t>DBH -outside bark (inch)</t>
  </si>
  <si>
    <r>
      <t>VOLCFGRS - inside bark            (feet</t>
    </r>
    <r>
      <rPr>
        <b/>
        <vertAlign val="superscript"/>
        <sz val="10"/>
        <rFont val="Arial"/>
        <family val="2"/>
      </rPr>
      <t>3</t>
    </r>
    <r>
      <rPr>
        <b/>
        <sz val="10"/>
        <rFont val="Arial"/>
        <family val="2"/>
      </rPr>
      <t>)</t>
    </r>
  </si>
  <si>
    <t>Bark Vol</t>
  </si>
  <si>
    <t>Stump Vol</t>
  </si>
  <si>
    <t>NTS  Trunk Vol</t>
  </si>
  <si>
    <t>DBH-ft</t>
  </si>
  <si>
    <t>Area-ft^2</t>
  </si>
  <si>
    <t>Hgt</t>
  </si>
  <si>
    <t>VOL-ft^3</t>
  </si>
  <si>
    <t>D1</t>
  </si>
  <si>
    <t>R1</t>
  </si>
  <si>
    <t>Vol</t>
  </si>
  <si>
    <t>Bole Vol (incl bark)</t>
  </si>
  <si>
    <t>Bole Mass</t>
  </si>
  <si>
    <t>Stem Density</t>
  </si>
  <si>
    <t>Stem Mass</t>
  </si>
  <si>
    <t>Bark Density</t>
  </si>
  <si>
    <t>Bark Mass</t>
  </si>
  <si>
    <t>Stump Mass</t>
  </si>
  <si>
    <t>Bole &amp; Stump Mass</t>
  </si>
  <si>
    <t>Stem Vol</t>
  </si>
  <si>
    <t xml:space="preserve">   </t>
  </si>
  <si>
    <t>SPCD</t>
  </si>
  <si>
    <t>COMMON_NAME</t>
  </si>
  <si>
    <t>GENUS</t>
  </si>
  <si>
    <t>SPECIES</t>
  </si>
  <si>
    <t>VARIETY</t>
  </si>
  <si>
    <t>SUBSPECIES</t>
  </si>
  <si>
    <t>SPECIES_SYMBOL</t>
  </si>
  <si>
    <t>E_SPGRPCD</t>
  </si>
  <si>
    <t>W_SPGRPCD</t>
  </si>
  <si>
    <t>MAJOR_SPGRPCD</t>
  </si>
  <si>
    <t>STOCKING_SPGRPCD</t>
  </si>
  <si>
    <t>FOREST_TYPE_SPGRPCD</t>
  </si>
  <si>
    <t>EXISTS_IN_NCRS</t>
  </si>
  <si>
    <t>EXISTS_IN_NERS</t>
  </si>
  <si>
    <t>EXISTS_IN_PNWRS</t>
  </si>
  <si>
    <t>EXISTS_IN_RMRS</t>
  </si>
  <si>
    <t>EXISTS_IN_SRS</t>
  </si>
  <si>
    <t>SITETREE</t>
  </si>
  <si>
    <t>SFTWD_HRDWD</t>
  </si>
  <si>
    <t>ST_EXISTS_IN_NCRS</t>
  </si>
  <si>
    <t>ST_EXISTS_IN_NERS</t>
  </si>
  <si>
    <t>ST_EXISTS_IN_PNWRS</t>
  </si>
  <si>
    <t>ST_EXISTS_IN_RMRS</t>
  </si>
  <si>
    <t>ST_EXISTS_IN_SRS</t>
  </si>
  <si>
    <t>EAST</t>
  </si>
  <si>
    <t>WEST</t>
  </si>
  <si>
    <t>WOODLAND</t>
  </si>
  <si>
    <t>MANUAL_START</t>
  </si>
  <si>
    <t>MANUAL_END</t>
  </si>
  <si>
    <t>CREATED_BY</t>
  </si>
  <si>
    <t>CREATED_DATE</t>
  </si>
  <si>
    <t>CREATED_IN_INSTANCE</t>
  </si>
  <si>
    <t>MODIFIED_BY</t>
  </si>
  <si>
    <t>MODIFIED_DATE</t>
  </si>
  <si>
    <t>MODIFIED_IN_INSTANCE</t>
  </si>
  <si>
    <t>CORE</t>
  </si>
  <si>
    <t>JENKINS_SPGRPCD</t>
  </si>
  <si>
    <t>JENKINS_TOTAL_B1</t>
  </si>
  <si>
    <t>JENKINS_TOTAL_B2</t>
  </si>
  <si>
    <t>JENKINS_STEM_WOOD_RATIO_B1</t>
  </si>
  <si>
    <t>JENKINS_STEM_WOOD_RATIO_B2</t>
  </si>
  <si>
    <t>JENKINS_STEM_BARK_RATIO_B1</t>
  </si>
  <si>
    <t>JENKINS_STEM_BARK_RATIO_B2</t>
  </si>
  <si>
    <t>JENKINS_FOLIAGE_RATIO_B1</t>
  </si>
  <si>
    <t>JENKINS_FOLIAGE_RATIO_B2</t>
  </si>
  <si>
    <t>JENKINS_ROOT_RATIO_B1</t>
  </si>
  <si>
    <t>JENKINS_ROOT_RATIO_B2</t>
  </si>
  <si>
    <t>JENKINS_SAPLING_ADJUSTMENT</t>
  </si>
  <si>
    <t>WOOD_SPGR_GREENVOL_DRYWT</t>
  </si>
  <si>
    <t>WOOD_SPGR_GREENVOL_DRYWT_CIT</t>
  </si>
  <si>
    <t>BARK_SPGR_GREENVOL_DRYWT</t>
  </si>
  <si>
    <t>BARK_SPGR_GREENVOL_DRYWT_CIT</t>
  </si>
  <si>
    <t>MC_PCT_GREEN_WOOD</t>
  </si>
  <si>
    <t>MC_PCT_GREEN_WOOD_CIT</t>
  </si>
  <si>
    <t>MC_PCT_GREEN_BARK</t>
  </si>
  <si>
    <t>MC_PCT_GREEN_BARK_CIT</t>
  </si>
  <si>
    <t>WOOD_SPGR_MC12VOL_DRYWT</t>
  </si>
  <si>
    <t>WOOD_SPGR_MC12VOL_DRYWT_CIT</t>
  </si>
  <si>
    <t>BARK_VOL_PCT</t>
  </si>
  <si>
    <t>BARK_VOL_PCT_CIT</t>
  </si>
  <si>
    <t>RAILE_STUMP_DOB_B1</t>
  </si>
  <si>
    <t>RAILE_STUMP_DIB_B1</t>
  </si>
  <si>
    <t>RAILE_STUMP_DIB_B2</t>
  </si>
  <si>
    <t>b (slope)</t>
  </si>
  <si>
    <t>stem_ratio</t>
  </si>
  <si>
    <t>bark_ratio</t>
  </si>
  <si>
    <t>foliage_ratio</t>
  </si>
  <si>
    <t>root_ratio</t>
  </si>
  <si>
    <t>Total_AG_biomass_Jenkins</t>
  </si>
  <si>
    <t>Stem_biomass_Jenkins</t>
  </si>
  <si>
    <t>Bark_biomass_Jenkins</t>
  </si>
  <si>
    <t>Bole_biomass_Jenkins</t>
  </si>
  <si>
    <t>Foliage_biomass_Jenkins</t>
  </si>
  <si>
    <t>Root_biomass_Jenkins</t>
  </si>
  <si>
    <t>Stump_vol_DIB</t>
  </si>
  <si>
    <t>Stump_vol_DOB</t>
  </si>
  <si>
    <t>Stump_Bark_biomass</t>
  </si>
  <si>
    <t>Stump_Wood_biomass</t>
  </si>
  <si>
    <t>Stump_Biomass</t>
  </si>
  <si>
    <t>Top_biomass_Jenkins</t>
  </si>
  <si>
    <t>AdjFac</t>
  </si>
  <si>
    <t>0.005454153*(BioMass!G2^2)*(1+(5.62462*Coeff_1!BJ2)+(8.50038*(Coeff_1!BJ2^2)))</t>
  </si>
  <si>
    <t>Stump Vol -OB</t>
  </si>
  <si>
    <t>Cir at base</t>
  </si>
  <si>
    <t>Radius at base</t>
  </si>
  <si>
    <t>DRYBIOT               (lbs) less foliage</t>
  </si>
  <si>
    <t>Foliage biomass</t>
  </si>
  <si>
    <t>Foliage  Mass</t>
  </si>
  <si>
    <t>Top biomass</t>
  </si>
  <si>
    <t>Top/Tot</t>
  </si>
  <si>
    <t>Top/(bole+stump)</t>
  </si>
  <si>
    <t>Stump Density</t>
  </si>
  <si>
    <t>Height  (feet)</t>
  </si>
  <si>
    <t>Enter data in green cells</t>
  </si>
  <si>
    <t>Wood Specific Gravity</t>
  </si>
  <si>
    <t>Bark Specific Gravity</t>
  </si>
  <si>
    <t>Wood density-lbs/ft^3</t>
  </si>
  <si>
    <t>Bark density-lbs/ft^3</t>
  </si>
  <si>
    <t>NTS Trunk &amp; Top Vol</t>
  </si>
  <si>
    <t>Estimated Stump Vol NTS</t>
  </si>
  <si>
    <t>Tot FIA Trunk Vol -ft^3</t>
  </si>
  <si>
    <t>FIA Components</t>
  </si>
  <si>
    <t>Tot Volume Bole &amp; Stump</t>
  </si>
  <si>
    <t>Tot Vol Bole, Top,Stump</t>
  </si>
  <si>
    <t xml:space="preserve"> (uses mass ratio to project tot vol)</t>
  </si>
  <si>
    <t>top/trunk</t>
  </si>
  <si>
    <t>Foliage ratio = EXP(Coeff_1!AS2+(Coeff_1!AT2/(BioMass!G2*2.54)))</t>
  </si>
  <si>
    <t>Coeff_1!AS2</t>
  </si>
  <si>
    <t>Coeff_1!AT2</t>
  </si>
  <si>
    <t>Foliage Biomass</t>
  </si>
  <si>
    <t>Foliage ratio = EXP(-2.9584+(4.4766/(2.54D)))</t>
  </si>
  <si>
    <t>=(EXP(Coeff_1!AM2+(Coeff_1!AN2*(LN(BioMass!G2*2.54)))))*2.2046</t>
  </si>
  <si>
    <t>Total  Biomass with foliage</t>
  </si>
  <si>
    <t>(J10 is either from direct modeling or a carryover from cell P2)</t>
  </si>
  <si>
    <t>(BioMass!G2)</t>
  </si>
  <si>
    <t>(D = DBH in inches)</t>
  </si>
  <si>
    <t>Coeff_1!AM2</t>
  </si>
  <si>
    <t>BioMass!G2</t>
  </si>
  <si>
    <t>Coeff_1!AN2</t>
  </si>
  <si>
    <t>Bole_Mass (BioMass)</t>
  </si>
  <si>
    <t>Stump_biomass</t>
  </si>
  <si>
    <t>AdJ-Fac</t>
  </si>
  <si>
    <t>BioMass Stump_biomass</t>
  </si>
  <si>
    <t>&lt;=== This is a separate calculation of the total by Jenkins</t>
  </si>
  <si>
    <t>This is a determination of bole biomass taking VOLCFGRS and adding bark vol</t>
  </si>
  <si>
    <t>Jenkins_Bole Biomass</t>
  </si>
  <si>
    <t>Jenkins_Foliage Biomass</t>
  </si>
  <si>
    <t>Jenkins_Stump Biomass</t>
  </si>
  <si>
    <t>Jenkins_Top_biomass</t>
  </si>
  <si>
    <t>Cumulative - Biomass</t>
  </si>
  <si>
    <t>DryBiot - BIOMASS</t>
  </si>
  <si>
    <t>Difference</t>
  </si>
  <si>
    <t>&lt; === this is unresolved</t>
  </si>
  <si>
    <t>Jenkin-Raile Equivalents</t>
  </si>
  <si>
    <t>(L3+M3+N3)</t>
  </si>
  <si>
    <t>Coeff_!M2</t>
  </si>
  <si>
    <t>Stem Ratio</t>
  </si>
  <si>
    <t>Bark Ratio</t>
  </si>
  <si>
    <t>Foliage Ratio</t>
  </si>
  <si>
    <t>Root Ratio</t>
  </si>
  <si>
    <t>Total Ratios</t>
  </si>
  <si>
    <t>Jenkins Ratios</t>
  </si>
  <si>
    <t>Value</t>
  </si>
  <si>
    <t>V =0.33363HD^2</t>
  </si>
  <si>
    <t>&lt; === form factor model approximating FIA amount</t>
  </si>
  <si>
    <t>320</t>
  </si>
  <si>
    <t>white oak</t>
  </si>
  <si>
    <t>Quercus</t>
  </si>
  <si>
    <t>alba</t>
  </si>
  <si>
    <t>QUAL</t>
  </si>
  <si>
    <t>H</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</si>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</sst>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00"/>
    <numFmt numFmtId="165" formatCode="0.0"/>
    <numFmt numFmtId="166" formatCode="m/d/yyyy\ h:mm:ss\ AM/PM"/>
    <numFmt numFmtId="167" formatCode="0.00000"/>
    <numFmt numFmtId="168" formatCode="0.0000"/>
    <numFmt numFmtId="169" formatCode="0.000"/>
    <numFmt numFmtId="170" formatCode="0.000000"/>
    <numFmt numFmtId="171" formatCode="#,##0.00000"/>
    <numFmt numFmtId="172" formatCode="#,##0.0000"/>
  </numFmts>
  <fonts count="32">
    <font>
      <sz val="12"/>
      <color theme="1"/>
      <name val="Calibri"/>
      <family val="2"/>
      <scheme val="minor"/>
    </font>
    <font>
      <sz val="10"/>
      <name val="Arial"/>
      <family val="2"/>
    </font>
    <font>
      <sz val="10"/>
      <color rgb="FFFF0000"/>
      <name val="Arial"/>
      <family val="2"/>
    </font>
    <font>
      <b/>
      <sz val="12"/>
      <color theme="1"/>
      <name val="Calibri"/>
      <family val="2"/>
      <scheme val="minor"/>
    </font>
    <font>
      <sz val="10"/>
      <color indexed="8"/>
      <name val="Arial"/>
      <family val="2"/>
    </font>
    <font>
      <sz val="16"/>
      <color rgb="FFFF0000"/>
      <name val="Arial"/>
      <family val="2"/>
    </font>
    <font>
      <b/>
      <sz val="10"/>
      <name val="Arial"/>
      <family val="2"/>
    </font>
    <font>
      <b/>
      <vertAlign val="superscript"/>
      <sz val="10"/>
      <name val="Arial"/>
      <family val="2"/>
    </font>
    <font>
      <b/>
      <sz val="16"/>
      <color theme="1"/>
      <name val="Calibri"/>
      <family val="2"/>
      <scheme val="minor"/>
    </font>
    <font>
      <b/>
      <sz val="10"/>
      <color indexed="8"/>
      <name val="Microsoft Sans Serif"/>
      <family val="2"/>
    </font>
    <font>
      <sz val="14"/>
      <color theme="1"/>
      <name val="Calibri"/>
      <family val="2"/>
      <scheme val="minor"/>
    </font>
    <font>
      <sz val="16"/>
      <color theme="1"/>
      <name val="Arial"/>
      <family val="2"/>
    </font>
    <font>
      <b/>
      <sz val="18"/>
      <color theme="1"/>
      <name val="Calibri"/>
      <family val="2"/>
      <scheme val="minor"/>
    </font>
    <font>
      <b/>
      <sz val="14"/>
      <color theme="1"/>
      <name val="Calibri"/>
      <family val="2"/>
      <scheme val="minor"/>
    </font>
    <font>
      <b/>
      <sz val="16"/>
      <color rgb="FFFF0000"/>
      <name val="Calibri"/>
      <family val="2"/>
      <scheme val="minor"/>
    </font>
    <font>
      <sz val="12"/>
      <color rgb="FFFF0000"/>
      <name val="Calibri"/>
      <family val="2"/>
      <scheme val="minor"/>
    </font>
    <font>
      <sz val="16"/>
      <color rgb="FFFF0000"/>
      <name val="Microsoft Sans Serif"/>
      <family val="2"/>
    </font>
    <font>
      <b/>
      <sz val="12"/>
      <color rgb="FF7030A0"/>
      <name val="Calibri"/>
      <family val="2"/>
      <scheme val="minor"/>
    </font>
    <font>
      <b/>
      <sz val="14"/>
      <color rgb="FFFF0000"/>
      <name val="Calibri"/>
      <family val="2"/>
      <scheme val="minor"/>
    </font>
    <font>
      <b/>
      <sz val="20"/>
      <color rgb="FFFF0000"/>
      <name val="Calibri"/>
      <family val="2"/>
      <scheme val="minor"/>
    </font>
    <font>
      <b/>
      <sz val="20"/>
      <color rgb="FF7030A0"/>
      <name val="Calibri"/>
      <family val="2"/>
      <scheme val="minor"/>
    </font>
    <font>
      <b/>
      <sz val="12"/>
      <color indexed="8"/>
      <name val="Microsoft Sans Serif"/>
      <family val="2"/>
    </font>
    <font>
      <sz val="12"/>
      <color rgb="FFFF0000"/>
      <name val="Microsoft Sans Serif"/>
      <family val="2"/>
    </font>
    <font>
      <b/>
      <sz val="10"/>
      <color rgb="FFFF0000"/>
      <name val="Microsoft Sans Serif"/>
      <family val="2"/>
    </font>
    <font>
      <b/>
      <sz val="12"/>
      <color rgb="FFFF0000"/>
      <name val="Calibri"/>
      <family val="2"/>
      <scheme val="minor"/>
    </font>
    <font>
      <b/>
      <sz val="14"/>
      <name val="Arial"/>
      <family val="2"/>
    </font>
    <font>
      <sz val="10"/>
      <color indexed="8"/>
      <name val="Microsoft Sans Serif"/>
      <family val="2"/>
    </font>
    <font>
      <b/>
      <sz val="16"/>
      <color theme="1"/>
      <name val="Arial"/>
      <family val="2"/>
    </font>
    <font>
      <b/>
      <sz val="16"/>
      <color indexed="8"/>
      <name val="Microsoft Sans Serif"/>
      <family val="2"/>
    </font>
    <font>
      <b/>
      <sz val="16"/>
      <name val="Arial"/>
      <family val="2"/>
    </font>
    <font>
      <b/>
      <sz val="14"/>
      <color rgb="FF0070C0"/>
      <name val="Microsoft Sans Serif"/>
      <family val="2"/>
    </font>
    <font>
      <b/>
      <sz val="14"/>
      <color rgb="FF0070C0"/>
      <name val="Arial"/>
      <family val="2"/>
    </font>
  </fonts>
  <fills count="15">
    <fill>
      <patternFill patternType="none"/>
    </fill>
    <fill>
      <patternFill patternType="gray125"/>
    </fill>
    <fill>
      <patternFill patternType="solid">
        <fgColor indexed="22"/>
        <bgColor indexed="31"/>
      </patternFill>
    </fill>
    <fill>
      <patternFill patternType="solid">
        <fgColor indexed="15"/>
        <bgColor indexed="35"/>
      </patternFill>
    </fill>
    <fill>
      <patternFill patternType="solid">
        <fgColor rgb="FF92D050"/>
        <bgColor indexed="31"/>
      </patternFill>
    </fill>
    <fill>
      <patternFill patternType="solid">
        <fgColor theme="5" tint="0.79998168889431442"/>
        <bgColor indexed="64"/>
      </patternFill>
    </fill>
    <fill>
      <patternFill patternType="solid">
        <fgColor theme="0" tint="-0.249977111117893"/>
        <bgColor indexed="31"/>
      </patternFill>
    </fill>
    <fill>
      <patternFill patternType="solid">
        <fgColor theme="0" tint="-0.249977111117893"/>
        <bgColor indexed="64"/>
      </patternFill>
    </fill>
    <fill>
      <patternFill patternType="solid">
        <fgColor theme="5" tint="0.79998168889431442"/>
        <bgColor indexed="22"/>
      </patternFill>
    </fill>
    <fill>
      <patternFill patternType="solid">
        <fgColor theme="5" tint="0.79998168889431442"/>
        <bgColor indexed="35"/>
      </patternFill>
    </fill>
    <fill>
      <patternFill patternType="solid">
        <fgColor theme="5" tint="0.79998168889431442"/>
        <bgColor indexed="31"/>
      </patternFill>
    </fill>
    <fill>
      <patternFill patternType="solid">
        <fgColor rgb="FF92D05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indexed="35"/>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3">
    <xf numFmtId="0" fontId="0" fillId="0" borderId="0"/>
    <xf numFmtId="0" fontId="1" fillId="0" borderId="0"/>
    <xf numFmtId="0" fontId="4" fillId="0" borderId="0"/>
  </cellStyleXfs>
  <cellXfs count="150">
    <xf numFmtId="0" fontId="0" fillId="0" borderId="0" xfId="0"/>
    <xf numFmtId="164" fontId="2" fillId="2" borderId="0" xfId="1" applyNumberFormat="1" applyFont="1" applyFill="1"/>
    <xf numFmtId="0" fontId="0" fillId="0" borderId="0" xfId="0" quotePrefix="1"/>
    <xf numFmtId="0" fontId="5" fillId="0" borderId="0" xfId="1" applyFont="1" applyFill="1"/>
    <xf numFmtId="0" fontId="4" fillId="0" borderId="0" xfId="2" applyFill="1"/>
    <xf numFmtId="0" fontId="9" fillId="3" borderId="0" xfId="2" applyNumberFormat="1" applyFont="1" applyFill="1"/>
    <xf numFmtId="0" fontId="9" fillId="3" borderId="0" xfId="2" applyNumberFormat="1" applyFont="1" applyFill="1" applyAlignment="1">
      <alignment horizontal="center"/>
    </xf>
    <xf numFmtId="0" fontId="6" fillId="3" borderId="0" xfId="1" applyFont="1" applyFill="1" applyAlignment="1">
      <alignment horizontal="center"/>
    </xf>
    <xf numFmtId="168" fontId="6" fillId="3" borderId="0" xfId="1" applyNumberFormat="1" applyFont="1" applyFill="1" applyAlignment="1">
      <alignment horizontal="center"/>
    </xf>
    <xf numFmtId="169" fontId="6" fillId="3" borderId="0" xfId="1" applyNumberFormat="1" applyFont="1" applyFill="1" applyAlignment="1">
      <alignment horizontal="center"/>
    </xf>
    <xf numFmtId="0" fontId="6" fillId="0" borderId="0" xfId="1" applyFont="1" applyFill="1" applyAlignment="1">
      <alignment horizontal="center"/>
    </xf>
    <xf numFmtId="0" fontId="0" fillId="5" borderId="4" xfId="0" applyFill="1" applyBorder="1"/>
    <xf numFmtId="0" fontId="8" fillId="5" borderId="6" xfId="0" applyFont="1" applyFill="1" applyBorder="1"/>
    <xf numFmtId="0" fontId="0" fillId="5" borderId="7" xfId="0" applyFill="1" applyBorder="1"/>
    <xf numFmtId="0" fontId="8" fillId="5" borderId="8" xfId="0" applyFont="1" applyFill="1" applyBorder="1"/>
    <xf numFmtId="0" fontId="0" fillId="5" borderId="1" xfId="0" applyFill="1" applyBorder="1"/>
    <xf numFmtId="0" fontId="8" fillId="5" borderId="14" xfId="0" applyFont="1" applyFill="1" applyBorder="1"/>
    <xf numFmtId="0" fontId="8" fillId="5" borderId="1" xfId="0" applyFont="1" applyFill="1" applyBorder="1" applyAlignment="1">
      <alignment horizontal="right"/>
    </xf>
    <xf numFmtId="0" fontId="8" fillId="5" borderId="3" xfId="0" applyFont="1" applyFill="1" applyBorder="1" applyAlignment="1">
      <alignment horizontal="right"/>
    </xf>
    <xf numFmtId="0" fontId="10" fillId="5" borderId="8" xfId="0" applyFont="1" applyFill="1" applyBorder="1"/>
    <xf numFmtId="0" fontId="10" fillId="5" borderId="14" xfId="0" applyFont="1" applyFill="1" applyBorder="1"/>
    <xf numFmtId="0" fontId="10" fillId="5" borderId="1" xfId="0" applyFont="1" applyFill="1" applyBorder="1"/>
    <xf numFmtId="0" fontId="10" fillId="5" borderId="3" xfId="0" applyFont="1" applyFill="1" applyBorder="1"/>
    <xf numFmtId="0" fontId="3" fillId="5" borderId="18" xfId="0" applyFont="1" applyFill="1" applyBorder="1" applyAlignment="1">
      <alignment horizontal="right"/>
    </xf>
    <xf numFmtId="0" fontId="3" fillId="5" borderId="19" xfId="0" applyFont="1" applyFill="1" applyBorder="1" applyAlignment="1">
      <alignment horizontal="right"/>
    </xf>
    <xf numFmtId="0" fontId="3" fillId="5" borderId="20" xfId="0" applyFont="1" applyFill="1" applyBorder="1" applyAlignment="1">
      <alignment horizontal="right"/>
    </xf>
    <xf numFmtId="165" fontId="0" fillId="5" borderId="15" xfId="0" applyNumberFormat="1" applyFill="1" applyBorder="1" applyAlignment="1">
      <alignment horizontal="right"/>
    </xf>
    <xf numFmtId="0" fontId="0" fillId="5" borderId="16" xfId="0" applyFill="1" applyBorder="1" applyAlignment="1">
      <alignment horizontal="right"/>
    </xf>
    <xf numFmtId="0" fontId="0" fillId="5" borderId="17" xfId="0" applyFill="1" applyBorder="1" applyAlignment="1">
      <alignment horizontal="right"/>
    </xf>
    <xf numFmtId="0" fontId="0" fillId="5" borderId="9" xfId="0" applyFill="1" applyBorder="1" applyAlignment="1">
      <alignment horizontal="right"/>
    </xf>
    <xf numFmtId="0" fontId="0" fillId="5" borderId="5" xfId="0" applyFill="1" applyBorder="1" applyAlignment="1">
      <alignment horizontal="right"/>
    </xf>
    <xf numFmtId="0" fontId="0" fillId="5" borderId="10" xfId="0" applyFill="1" applyBorder="1" applyAlignment="1">
      <alignment horizontal="right"/>
    </xf>
    <xf numFmtId="4" fontId="0" fillId="5" borderId="9" xfId="0" applyNumberFormat="1" applyFill="1" applyBorder="1" applyAlignment="1">
      <alignment horizontal="right"/>
    </xf>
    <xf numFmtId="0" fontId="0" fillId="5" borderId="5" xfId="0" quotePrefix="1" applyFill="1" applyBorder="1" applyAlignment="1">
      <alignment horizontal="right"/>
    </xf>
    <xf numFmtId="0" fontId="0" fillId="5" borderId="21" xfId="0" applyFill="1" applyBorder="1" applyAlignment="1">
      <alignment horizontal="right"/>
    </xf>
    <xf numFmtId="0" fontId="0" fillId="5" borderId="22" xfId="0" applyFill="1" applyBorder="1" applyAlignment="1">
      <alignment horizontal="right"/>
    </xf>
    <xf numFmtId="0" fontId="0" fillId="5" borderId="23" xfId="0" applyFill="1" applyBorder="1" applyAlignment="1">
      <alignment horizontal="right"/>
    </xf>
    <xf numFmtId="4" fontId="0" fillId="5" borderId="15" xfId="0" applyNumberFormat="1" applyFill="1" applyBorder="1" applyAlignment="1">
      <alignment horizontal="right"/>
    </xf>
    <xf numFmtId="4" fontId="0" fillId="5" borderId="17" xfId="0" applyNumberFormat="1" applyFill="1" applyBorder="1" applyAlignment="1">
      <alignment horizontal="right"/>
    </xf>
    <xf numFmtId="0" fontId="0" fillId="5" borderId="24" xfId="0" applyFill="1" applyBorder="1" applyAlignment="1">
      <alignment horizontal="right"/>
    </xf>
    <xf numFmtId="0" fontId="0" fillId="5" borderId="25" xfId="0" applyFill="1" applyBorder="1" applyAlignment="1">
      <alignment horizontal="right"/>
    </xf>
    <xf numFmtId="0" fontId="0" fillId="5" borderId="26" xfId="0" applyFill="1" applyBorder="1" applyAlignment="1">
      <alignment horizontal="right"/>
    </xf>
    <xf numFmtId="0" fontId="0" fillId="5" borderId="15" xfId="0" applyFill="1" applyBorder="1" applyAlignment="1">
      <alignment horizontal="right"/>
    </xf>
    <xf numFmtId="0" fontId="3" fillId="5" borderId="2" xfId="0" applyFont="1" applyFill="1" applyBorder="1"/>
    <xf numFmtId="0" fontId="0" fillId="5" borderId="3" xfId="0" applyFill="1" applyBorder="1"/>
    <xf numFmtId="0" fontId="8" fillId="5" borderId="2" xfId="0" applyFont="1" applyFill="1" applyBorder="1" applyAlignment="1">
      <alignment horizontal="right"/>
    </xf>
    <xf numFmtId="0" fontId="3" fillId="5" borderId="4" xfId="0" applyFont="1" applyFill="1" applyBorder="1"/>
    <xf numFmtId="0" fontId="3" fillId="5" borderId="3" xfId="0" applyFont="1" applyFill="1" applyBorder="1"/>
    <xf numFmtId="4" fontId="3" fillId="5" borderId="20" xfId="0" applyNumberFormat="1" applyFont="1" applyFill="1" applyBorder="1" applyAlignment="1">
      <alignment horizontal="right"/>
    </xf>
    <xf numFmtId="4" fontId="0" fillId="5" borderId="20" xfId="0" applyNumberFormat="1" applyFont="1" applyFill="1" applyBorder="1" applyAlignment="1">
      <alignment horizontal="right"/>
    </xf>
    <xf numFmtId="4" fontId="6" fillId="3" borderId="1" xfId="1" applyNumberFormat="1" applyFont="1" applyFill="1" applyBorder="1" applyAlignment="1">
      <alignment horizontal="center" vertical="center" wrapText="1"/>
    </xf>
    <xf numFmtId="4" fontId="3" fillId="5" borderId="10" xfId="0" applyNumberFormat="1" applyFont="1" applyFill="1" applyBorder="1" applyAlignment="1">
      <alignment horizontal="right"/>
    </xf>
    <xf numFmtId="0" fontId="3" fillId="5" borderId="9" xfId="0" applyFont="1" applyFill="1" applyBorder="1" applyAlignment="1">
      <alignment horizontal="right"/>
    </xf>
    <xf numFmtId="0" fontId="3" fillId="5" borderId="11" xfId="0" applyFont="1" applyFill="1" applyBorder="1" applyAlignment="1">
      <alignment horizontal="right"/>
    </xf>
    <xf numFmtId="0" fontId="3" fillId="5" borderId="12" xfId="0" applyFont="1" applyFill="1" applyBorder="1" applyAlignment="1">
      <alignment horizontal="right"/>
    </xf>
    <xf numFmtId="4" fontId="3" fillId="5" borderId="13" xfId="0" applyNumberFormat="1" applyFont="1" applyFill="1" applyBorder="1" applyAlignment="1">
      <alignment horizontal="right"/>
    </xf>
    <xf numFmtId="0" fontId="3" fillId="5" borderId="4" xfId="0" applyFont="1" applyFill="1" applyBorder="1" applyAlignment="1">
      <alignment horizontal="right"/>
    </xf>
    <xf numFmtId="0" fontId="3" fillId="5" borderId="1" xfId="0" applyFont="1" applyFill="1" applyBorder="1" applyAlignment="1">
      <alignment horizontal="right"/>
    </xf>
    <xf numFmtId="172" fontId="3" fillId="5" borderId="1" xfId="0" applyNumberFormat="1" applyFont="1" applyFill="1" applyBorder="1" applyAlignment="1">
      <alignment horizontal="right"/>
    </xf>
    <xf numFmtId="0" fontId="3" fillId="5" borderId="1" xfId="0" applyFont="1" applyFill="1" applyBorder="1"/>
    <xf numFmtId="165" fontId="11" fillId="4" borderId="6" xfId="1" applyNumberFormat="1" applyFont="1" applyFill="1" applyBorder="1" applyProtection="1">
      <protection locked="0"/>
    </xf>
    <xf numFmtId="0" fontId="12" fillId="0" borderId="0" xfId="0" applyFont="1"/>
    <xf numFmtId="0" fontId="8" fillId="5" borderId="1" xfId="0" applyFont="1" applyFill="1" applyBorder="1"/>
    <xf numFmtId="0" fontId="13" fillId="5" borderId="1" xfId="0" applyFont="1" applyFill="1" applyBorder="1"/>
    <xf numFmtId="0" fontId="13" fillId="5" borderId="14" xfId="0" applyFont="1" applyFill="1" applyBorder="1"/>
    <xf numFmtId="0" fontId="3" fillId="11" borderId="27" xfId="0" applyFont="1" applyFill="1" applyBorder="1" applyProtection="1">
      <protection locked="0"/>
    </xf>
    <xf numFmtId="0" fontId="3" fillId="5" borderId="28" xfId="0" applyFont="1" applyFill="1" applyBorder="1"/>
    <xf numFmtId="0" fontId="3" fillId="11" borderId="28" xfId="0" applyFont="1" applyFill="1" applyBorder="1" applyProtection="1">
      <protection locked="0"/>
    </xf>
    <xf numFmtId="0" fontId="3" fillId="5" borderId="29" xfId="0" applyFont="1" applyFill="1" applyBorder="1"/>
    <xf numFmtId="0" fontId="14" fillId="5" borderId="8" xfId="0" applyFont="1" applyFill="1" applyBorder="1"/>
    <xf numFmtId="4" fontId="11" fillId="2" borderId="1" xfId="1" applyNumberFormat="1" applyFont="1" applyFill="1" applyBorder="1"/>
    <xf numFmtId="0" fontId="0" fillId="5" borderId="2" xfId="0" applyFill="1" applyBorder="1"/>
    <xf numFmtId="49" fontId="16" fillId="6" borderId="2" xfId="2" applyNumberFormat="1" applyFont="1" applyFill="1" applyBorder="1"/>
    <xf numFmtId="0" fontId="15" fillId="7" borderId="3" xfId="0" applyFont="1" applyFill="1" applyBorder="1"/>
    <xf numFmtId="4" fontId="5" fillId="6" borderId="1" xfId="1" applyNumberFormat="1" applyFont="1" applyFill="1" applyBorder="1"/>
    <xf numFmtId="0" fontId="17" fillId="5" borderId="2" xfId="0" applyFont="1" applyFill="1" applyBorder="1"/>
    <xf numFmtId="0" fontId="18" fillId="5" borderId="1" xfId="0" applyFont="1" applyFill="1" applyBorder="1"/>
    <xf numFmtId="2" fontId="19" fillId="5" borderId="3" xfId="0" applyNumberFormat="1" applyFont="1" applyFill="1" applyBorder="1"/>
    <xf numFmtId="2" fontId="20" fillId="5" borderId="1" xfId="0" applyNumberFormat="1" applyFont="1" applyFill="1" applyBorder="1"/>
    <xf numFmtId="169" fontId="0" fillId="0" borderId="0" xfId="0" applyNumberFormat="1"/>
    <xf numFmtId="171" fontId="8" fillId="11" borderId="14" xfId="0" applyNumberFormat="1" applyFont="1" applyFill="1" applyBorder="1" applyProtection="1">
      <protection locked="0"/>
    </xf>
    <xf numFmtId="0" fontId="13" fillId="5" borderId="2" xfId="0" applyFont="1" applyFill="1" applyBorder="1"/>
    <xf numFmtId="0" fontId="21" fillId="9" borderId="30" xfId="2" applyNumberFormat="1" applyFont="1" applyFill="1" applyBorder="1"/>
    <xf numFmtId="167" fontId="22" fillId="5" borderId="32" xfId="0" applyNumberFormat="1" applyFont="1" applyFill="1" applyBorder="1"/>
    <xf numFmtId="0" fontId="21" fillId="9" borderId="6" xfId="2" applyNumberFormat="1" applyFont="1" applyFill="1" applyBorder="1"/>
    <xf numFmtId="167" fontId="22" fillId="5" borderId="8" xfId="0" applyNumberFormat="1" applyFont="1" applyFill="1" applyBorder="1"/>
    <xf numFmtId="0" fontId="3" fillId="5" borderId="31" xfId="0" applyFont="1" applyFill="1" applyBorder="1"/>
    <xf numFmtId="0" fontId="3" fillId="5" borderId="7" xfId="0" applyFont="1" applyFill="1" applyBorder="1"/>
    <xf numFmtId="169" fontId="6" fillId="8" borderId="6" xfId="1" applyNumberFormat="1" applyFont="1" applyFill="1" applyBorder="1" applyAlignment="1">
      <alignment horizontal="center" vertical="center" wrapText="1"/>
    </xf>
    <xf numFmtId="169" fontId="3" fillId="5" borderId="3" xfId="0" applyNumberFormat="1" applyFont="1" applyFill="1" applyBorder="1"/>
    <xf numFmtId="0" fontId="3" fillId="5" borderId="2" xfId="0" quotePrefix="1" applyFont="1" applyFill="1" applyBorder="1"/>
    <xf numFmtId="169" fontId="6" fillId="9" borderId="1" xfId="1" applyNumberFormat="1" applyFont="1" applyFill="1" applyBorder="1" applyAlignment="1">
      <alignment horizontal="center"/>
    </xf>
    <xf numFmtId="0" fontId="3" fillId="5" borderId="33" xfId="0" applyFont="1" applyFill="1" applyBorder="1"/>
    <xf numFmtId="49" fontId="23" fillId="5" borderId="1" xfId="0" applyNumberFormat="1" applyFont="1" applyFill="1" applyBorder="1"/>
    <xf numFmtId="165" fontId="11" fillId="10" borderId="14" xfId="1" applyNumberFormat="1" applyFont="1" applyFill="1" applyBorder="1" applyProtection="1">
      <protection locked="0"/>
    </xf>
    <xf numFmtId="4" fontId="3" fillId="5" borderId="3" xfId="0" applyNumberFormat="1" applyFont="1" applyFill="1" applyBorder="1"/>
    <xf numFmtId="168" fontId="3" fillId="5" borderId="1" xfId="0" applyNumberFormat="1" applyFont="1" applyFill="1" applyBorder="1"/>
    <xf numFmtId="0" fontId="3" fillId="13" borderId="2" xfId="0" applyFont="1" applyFill="1" applyBorder="1"/>
    <xf numFmtId="0" fontId="3" fillId="5" borderId="14" xfId="0" applyFont="1" applyFill="1" applyBorder="1"/>
    <xf numFmtId="0" fontId="0" fillId="13" borderId="4" xfId="0" applyFill="1" applyBorder="1"/>
    <xf numFmtId="0" fontId="0" fillId="13" borderId="3" xfId="0" applyFill="1" applyBorder="1"/>
    <xf numFmtId="0" fontId="3" fillId="13" borderId="1" xfId="0" applyFont="1" applyFill="1" applyBorder="1"/>
    <xf numFmtId="169" fontId="3" fillId="13" borderId="3" xfId="0" applyNumberFormat="1" applyFont="1" applyFill="1" applyBorder="1"/>
    <xf numFmtId="0" fontId="24" fillId="13" borderId="1" xfId="0" applyFont="1" applyFill="1" applyBorder="1"/>
    <xf numFmtId="0" fontId="15" fillId="0" borderId="0" xfId="0" applyFont="1"/>
    <xf numFmtId="169" fontId="3" fillId="5" borderId="1" xfId="0" applyNumberFormat="1" applyFont="1" applyFill="1" applyBorder="1" applyAlignment="1">
      <alignment horizontal="right"/>
    </xf>
    <xf numFmtId="169" fontId="3" fillId="5" borderId="1" xfId="0" applyNumberFormat="1" applyFont="1" applyFill="1" applyBorder="1"/>
    <xf numFmtId="169" fontId="24" fillId="5" borderId="1" xfId="0" applyNumberFormat="1" applyFont="1" applyFill="1" applyBorder="1"/>
    <xf numFmtId="0" fontId="0" fillId="5" borderId="0" xfId="0" applyFill="1"/>
    <xf numFmtId="4" fontId="25" fillId="9" borderId="1" xfId="1" applyNumberFormat="1" applyFont="1" applyFill="1" applyBorder="1" applyAlignment="1">
      <alignment horizontal="center" vertical="center" wrapText="1"/>
    </xf>
    <xf numFmtId="0" fontId="13" fillId="12" borderId="1" xfId="0" applyFont="1" applyFill="1" applyBorder="1"/>
    <xf numFmtId="168" fontId="3" fillId="5" borderId="32" xfId="0" applyNumberFormat="1" applyFont="1" applyFill="1" applyBorder="1"/>
    <xf numFmtId="0" fontId="3" fillId="5" borderId="35" xfId="0" applyFont="1" applyFill="1" applyBorder="1"/>
    <xf numFmtId="168" fontId="3" fillId="5" borderId="34" xfId="0" applyNumberFormat="1" applyFont="1" applyFill="1" applyBorder="1"/>
    <xf numFmtId="0" fontId="3" fillId="5" borderId="8" xfId="0" applyFont="1" applyFill="1" applyBorder="1"/>
    <xf numFmtId="0" fontId="3" fillId="5" borderId="3" xfId="0" applyFont="1" applyFill="1" applyBorder="1" applyAlignment="1">
      <alignment horizontal="right"/>
    </xf>
    <xf numFmtId="4" fontId="11" fillId="10" borderId="14" xfId="1" applyNumberFormat="1" applyFont="1" applyFill="1" applyBorder="1"/>
    <xf numFmtId="4" fontId="5" fillId="6" borderId="1" xfId="1" applyNumberFormat="1" applyFont="1" applyFill="1" applyBorder="1" applyAlignment="1">
      <alignment horizontal="right"/>
    </xf>
    <xf numFmtId="10" fontId="5" fillId="6" borderId="1" xfId="1" applyNumberFormat="1" applyFont="1" applyFill="1" applyBorder="1"/>
    <xf numFmtId="0" fontId="26" fillId="2" borderId="0" xfId="2" applyNumberFormat="1" applyFont="1" applyFill="1"/>
    <xf numFmtId="49" fontId="26" fillId="2" borderId="0" xfId="2" applyNumberFormat="1" applyFont="1" applyFill="1"/>
    <xf numFmtId="49" fontId="26" fillId="0" borderId="0" xfId="2" applyNumberFormat="1" applyFont="1" applyFill="1"/>
    <xf numFmtId="165" fontId="26" fillId="0" borderId="0" xfId="2" applyNumberFormat="1" applyFont="1" applyFill="1"/>
    <xf numFmtId="166" fontId="26" fillId="0" borderId="0" xfId="2" applyNumberFormat="1" applyFont="1" applyFill="1"/>
    <xf numFmtId="0" fontId="26" fillId="0" borderId="0" xfId="2" applyNumberFormat="1" applyFont="1" applyFill="1"/>
    <xf numFmtId="167" fontId="26" fillId="0" borderId="0" xfId="2" applyNumberFormat="1" applyFont="1" applyFill="1"/>
    <xf numFmtId="169" fontId="6" fillId="8" borderId="33" xfId="1" applyNumberFormat="1" applyFont="1" applyFill="1" applyBorder="1" applyAlignment="1">
      <alignment horizontal="center" vertical="center" wrapText="1"/>
    </xf>
    <xf numFmtId="0" fontId="6" fillId="8" borderId="33" xfId="1" applyFont="1" applyFill="1" applyBorder="1" applyAlignment="1">
      <alignment horizontal="center" vertical="center" wrapText="1"/>
    </xf>
    <xf numFmtId="4" fontId="6" fillId="8" borderId="33" xfId="1" applyNumberFormat="1" applyFont="1" applyFill="1" applyBorder="1" applyAlignment="1">
      <alignment horizontal="center" vertical="center" wrapText="1"/>
    </xf>
    <xf numFmtId="4" fontId="6" fillId="9" borderId="33" xfId="1" applyNumberFormat="1" applyFont="1" applyFill="1" applyBorder="1" applyAlignment="1">
      <alignment horizontal="center" vertical="center" wrapText="1"/>
    </xf>
    <xf numFmtId="4" fontId="6" fillId="14" borderId="32" xfId="1" applyNumberFormat="1" applyFont="1" applyFill="1" applyBorder="1" applyAlignment="1">
      <alignment horizontal="center" vertical="center" wrapText="1"/>
    </xf>
    <xf numFmtId="4" fontId="11" fillId="10" borderId="8" xfId="1" applyNumberFormat="1" applyFont="1" applyFill="1" applyBorder="1"/>
    <xf numFmtId="0" fontId="28" fillId="10" borderId="5" xfId="2" applyNumberFormat="1" applyFont="1" applyFill="1" applyBorder="1"/>
    <xf numFmtId="49" fontId="28" fillId="10" borderId="5" xfId="2" applyNumberFormat="1" applyFont="1" applyFill="1" applyBorder="1"/>
    <xf numFmtId="165" fontId="29" fillId="10" borderId="5" xfId="1" applyNumberFormat="1" applyFont="1" applyFill="1" applyBorder="1"/>
    <xf numFmtId="0" fontId="29" fillId="10" borderId="5" xfId="1" applyFont="1" applyFill="1" applyBorder="1"/>
    <xf numFmtId="4" fontId="29" fillId="10" borderId="5" xfId="1" applyNumberFormat="1" applyFont="1" applyFill="1" applyBorder="1"/>
    <xf numFmtId="171" fontId="27" fillId="10" borderId="5" xfId="1" quotePrefix="1" applyNumberFormat="1" applyFont="1" applyFill="1" applyBorder="1"/>
    <xf numFmtId="0" fontId="13" fillId="0" borderId="0" xfId="0" applyFont="1"/>
    <xf numFmtId="0" fontId="30" fillId="2" borderId="0" xfId="2" applyNumberFormat="1" applyFont="1" applyFill="1"/>
    <xf numFmtId="49" fontId="30" fillId="2" borderId="0" xfId="2" applyNumberFormat="1" applyFont="1" applyFill="1"/>
    <xf numFmtId="0" fontId="31" fillId="2" borderId="0" xfId="1" applyFont="1" applyFill="1"/>
    <xf numFmtId="164" fontId="31" fillId="2" borderId="0" xfId="1" applyNumberFormat="1" applyFont="1" applyFill="1"/>
    <xf numFmtId="168" fontId="31" fillId="2" borderId="0" xfId="1" applyNumberFormat="1" applyFont="1" applyFill="1"/>
    <xf numFmtId="169" fontId="31" fillId="2" borderId="0" xfId="1" applyNumberFormat="1" applyFont="1" applyFill="1"/>
    <xf numFmtId="169" fontId="31" fillId="0" borderId="0" xfId="1" applyNumberFormat="1" applyFont="1" applyFill="1"/>
    <xf numFmtId="167" fontId="31" fillId="0" borderId="0" xfId="1" applyNumberFormat="1" applyFont="1" applyFill="1"/>
    <xf numFmtId="170" fontId="31" fillId="0" borderId="0" xfId="1" applyNumberFormat="1" applyFont="1" applyFill="1"/>
    <xf numFmtId="168" fontId="31" fillId="0" borderId="0" xfId="1" applyNumberFormat="1" applyFont="1" applyFill="1"/>
    <xf numFmtId="0" fontId="31" fillId="0" borderId="0" xfId="1" applyFont="1" applyFill="1"/>
  </cellXfs>
  <cellStyles count="3">
    <cellStyle name="Excel Built-in Normal" xfId="1" xr:uid="{F4389A6C-0B5E-DE4A-B661-A8A335A0C143}"/>
    <cellStyle name="Excel Built-in Normal 1" xfId="2" xr:uid="{A1519BC1-6953-E243-96EB-D541E821E9B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88900</xdr:colOff>
      <xdr:row>12</xdr:row>
      <xdr:rowOff>88900</xdr:rowOff>
    </xdr:from>
    <xdr:to>
      <xdr:col>10</xdr:col>
      <xdr:colOff>863600</xdr:colOff>
      <xdr:row>35</xdr:row>
      <xdr:rowOff>114300</xdr:rowOff>
    </xdr:to>
    <xdr:sp macro="" textlink="">
      <xdr:nvSpPr>
        <xdr:cNvPr id="2" name="TextBox 1">
          <a:extLst>
            <a:ext uri="{FF2B5EF4-FFF2-40B4-BE49-F238E27FC236}">
              <a16:creationId xmlns:a16="http://schemas.microsoft.com/office/drawing/2014/main" id="{908D8901-4D0E-2145-9E36-FFA3C9ACA4CD}"/>
            </a:ext>
          </a:extLst>
        </xdr:cNvPr>
        <xdr:cNvSpPr txBox="1"/>
      </xdr:nvSpPr>
      <xdr:spPr>
        <a:xfrm>
          <a:off x="88900" y="3581400"/>
          <a:ext cx="8737600" cy="488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VOLCFGRS</a:t>
          </a:r>
          <a:r>
            <a:rPr lang="en-US" sz="1600" baseline="0"/>
            <a:t> = stem vol (inside bark, i.e. wood only) (VOLCFGRS stands for gross cubic foot volume)</a:t>
          </a:r>
          <a:endParaRPr lang="en-US" sz="1600"/>
        </a:p>
        <a:p>
          <a:r>
            <a:rPr lang="en-US" sz="1600"/>
            <a:t>Bark</a:t>
          </a:r>
          <a:r>
            <a:rPr lang="en-US" sz="1600" baseline="0"/>
            <a:t> Vol/stem Vol = 0.16 for white pine. See cell Coeff_1!BH2.</a:t>
          </a:r>
        </a:p>
        <a:p>
          <a:endParaRPr lang="en-US" sz="1600" baseline="0"/>
        </a:p>
        <a:p>
          <a:r>
            <a:rPr lang="en-US" sz="1600" baseline="0"/>
            <a:t>Bole Vol = Stem Vol + Bark Vol (This is a fairly standard forestry definition)</a:t>
          </a:r>
        </a:p>
        <a:p>
          <a:endParaRPr lang="en-US" sz="1600" baseline="0"/>
        </a:p>
        <a:p>
          <a:r>
            <a:rPr lang="en-US" sz="1600" baseline="0"/>
            <a:t>Stump Vol:                  Stump_vol_DOB = ( 0.005454153 × DBH2 × (  1 + (5.62462 × C ) + (8.50038 × C2) ) </a:t>
          </a:r>
        </a:p>
        <a:p>
          <a:endParaRPr lang="en-US" sz="1600" baseline="0"/>
        </a:p>
        <a:p>
          <a:r>
            <a:rPr lang="en-US" sz="1600" baseline="0"/>
            <a:t>		C: Raile_Stump_DOB_B1 in "coeff 1" tab</a:t>
          </a:r>
        </a:p>
        <a:p>
          <a:endParaRPr lang="en-US" sz="1600" baseline="0"/>
        </a:p>
        <a:p>
          <a:endParaRPr lang="en-US" sz="1600" baseline="0"/>
        </a:p>
        <a:p>
          <a:r>
            <a:rPr lang="en-US" sz="1600" baseline="0"/>
            <a:t>Top biomass = Tot biomass - Bole biomass - Stump Biomass - Foliage biomass. (foliage is needles or leaves)</a:t>
          </a:r>
        </a:p>
        <a:p>
          <a:endParaRPr lang="en-US" sz="1600" baseline="0"/>
        </a:p>
        <a:p>
          <a:r>
            <a:rPr lang="en-US" sz="1600" baseline="0"/>
            <a:t>Top = limbs, branches, twigs (this is my interpretation)</a:t>
          </a:r>
        </a:p>
        <a:p>
          <a:endParaRPr lang="en-US" sz="1600" baseline="0"/>
        </a:p>
        <a:p>
          <a:r>
            <a:rPr lang="en-US" sz="1600" baseline="0"/>
            <a:t>Note that the mass ratio of Top to (bole + stump) is usually between  0.085 and 1.000 for larger trees. It is unclear if the corresponding volume ratio would be the same. However, it is assumed so for cell K11.</a:t>
          </a:r>
        </a:p>
        <a:p>
          <a:endParaRPr lang="en-US" sz="1600" baseline="0"/>
        </a:p>
        <a:p>
          <a:endParaRPr lang="en-US" sz="1600"/>
        </a:p>
      </xdr:txBody>
    </xdr:sp>
    <xdr:clientData/>
  </xdr:twoCellAnchor>
  <xdr:twoCellAnchor>
    <xdr:from>
      <xdr:col>15</xdr:col>
      <xdr:colOff>50800</xdr:colOff>
      <xdr:row>9</xdr:row>
      <xdr:rowOff>266700</xdr:rowOff>
    </xdr:from>
    <xdr:to>
      <xdr:col>27</xdr:col>
      <xdr:colOff>12700</xdr:colOff>
      <xdr:row>74</xdr:row>
      <xdr:rowOff>152400</xdr:rowOff>
    </xdr:to>
    <xdr:sp macro="" textlink="" fLocksText="0">
      <xdr:nvSpPr>
        <xdr:cNvPr id="3" name="TextBox 4">
          <a:extLst>
            <a:ext uri="{FF2B5EF4-FFF2-40B4-BE49-F238E27FC236}">
              <a16:creationId xmlns:a16="http://schemas.microsoft.com/office/drawing/2014/main" id="{C99E96A0-8EFD-8D40-9789-2300CE046936}"/>
            </a:ext>
          </a:extLst>
        </xdr:cNvPr>
        <xdr:cNvSpPr>
          <a:spLocks noChangeArrowheads="1"/>
        </xdr:cNvSpPr>
      </xdr:nvSpPr>
      <xdr:spPr bwMode="auto">
        <a:xfrm>
          <a:off x="16852900" y="3022600"/>
          <a:ext cx="9791700" cy="13855700"/>
        </a:xfrm>
        <a:prstGeom prst="rect">
          <a:avLst/>
        </a:prstGeom>
        <a:solidFill>
          <a:srgbClr val="FFFF66"/>
        </a:solidFill>
        <a:ln w="9360">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t"/>
        <a:lstStyle/>
        <a:p>
          <a:pPr algn="l" rtl="0">
            <a:lnSpc>
              <a:spcPts val="1900"/>
            </a:lnSpc>
            <a:defRPr sz="1000"/>
          </a:pPr>
          <a:r>
            <a:rPr lang="en-US" sz="1800" b="1" i="0" u="none" strike="noStrike" baseline="0">
              <a:solidFill>
                <a:srgbClr val="000000"/>
              </a:solidFill>
              <a:latin typeface="Times New Roman" pitchFamily="1" charset="0"/>
              <a:cs typeface="Times New Roman" pitchFamily="1" charset="0"/>
            </a:rPr>
            <a:t>The Estimation Process in this spreadsheet:</a:t>
          </a:r>
        </a:p>
        <a:p>
          <a:pPr algn="l" rtl="0">
            <a:lnSpc>
              <a:spcPts val="1900"/>
            </a:lnSpc>
            <a:defRPr sz="1000"/>
          </a:pPr>
          <a:endParaRPr lang="en-US" sz="18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This spreadsheet uses the following procedure to estimate biomass:</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1" i="0" u="none" strike="noStrike" baseline="0">
              <a:solidFill>
                <a:srgbClr val="000000"/>
              </a:solidFill>
              <a:latin typeface="Times New Roman" pitchFamily="1" charset="0"/>
              <a:cs typeface="Times New Roman" pitchFamily="1" charset="0"/>
            </a:rPr>
            <a:t>1) VOLCFGRS (Feet3) = b(DBH2 × Total Tree Height). </a:t>
          </a: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The </a:t>
          </a:r>
          <a:r>
            <a:rPr lang="en-US" sz="1200" b="1" i="0" u="none" strike="noStrike" baseline="0">
              <a:solidFill>
                <a:srgbClr val="FF0000"/>
              </a:solidFill>
              <a:latin typeface="Times New Roman" pitchFamily="1" charset="0"/>
              <a:cs typeface="Times New Roman" pitchFamily="1" charset="0"/>
            </a:rPr>
            <a:t>coefficient b</a:t>
          </a:r>
          <a:r>
            <a:rPr lang="en-US" sz="1200" b="0" i="0" u="none" strike="noStrike" baseline="0">
              <a:solidFill>
                <a:srgbClr val="FF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is based on a regression fit to TREE table data in the FIADB.  Species that had relative errors greater than 10% were omitted from this spreadsheet.  Note that FIA bases their VOLCFGRS estimates on region-specific equations.  </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2) VOLCFSND (Feet3) = VOLCFGRS × Cull%</a:t>
          </a: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3) </a:t>
          </a:r>
          <a:r>
            <a:rPr lang="en-US" sz="1200" b="1" i="0" u="none" strike="noStrike" baseline="0">
              <a:solidFill>
                <a:srgbClr val="FF0000"/>
              </a:solidFill>
              <a:latin typeface="Times New Roman" pitchFamily="1" charset="0"/>
              <a:cs typeface="Times New Roman" pitchFamily="1" charset="0"/>
            </a:rPr>
            <a:t>DRYBIO_BOLE (lbs)</a:t>
          </a:r>
          <a:r>
            <a:rPr lang="en-US" sz="1200" b="1" i="0" u="none" strike="noStrike" baseline="0">
              <a:solidFill>
                <a:srgbClr val="000000"/>
              </a:solidFill>
              <a:latin typeface="Times New Roman" pitchFamily="1" charset="0"/>
              <a:cs typeface="Times New Roman" pitchFamily="1" charset="0"/>
            </a:rPr>
            <a:t> = (VOLCFSND × (BARK_VOL_PCT/100) × (BARK_SPGR_GREENVOL_DRYWT × 62.4)) + </a:t>
          </a:r>
        </a:p>
        <a:p>
          <a:pPr algn="l" rtl="0">
            <a:lnSpc>
              <a:spcPts val="1200"/>
            </a:lnSpc>
            <a:defRPr sz="1000"/>
          </a:pPr>
          <a:r>
            <a:rPr lang="en-US" sz="1200" b="1" i="0" u="none" strike="noStrike" baseline="0">
              <a:solidFill>
                <a:srgbClr val="000000"/>
              </a:solidFill>
              <a:latin typeface="Times New Roman" pitchFamily="1" charset="0"/>
              <a:cs typeface="Times New Roman" pitchFamily="1" charset="0"/>
            </a:rPr>
            <a:t>	                      (VOLCFSND × WOOD_SPGR_GREENVOL_DRYWT × 62.4)</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BARK_SPGR_GREENVOL_DRYW (green specific gravity of the bark (green volume and oven-dry weight)</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WOOD_SPGR_GREENVOL_DRYWT (green specific gravity of the wood (green volume and oven-dry weight)</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Each specice specific gravity of the bark and the wood is presented in "coeff 1" tab.</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4) </a:t>
          </a:r>
        </a:p>
        <a:p>
          <a:pPr algn="l" rtl="0">
            <a:lnSpc>
              <a:spcPts val="1200"/>
            </a:lnSpc>
            <a:defRPr sz="1000"/>
          </a:pPr>
          <a:r>
            <a:rPr lang="en-US" sz="1200" b="1" i="0" u="none" strike="noStrike" baseline="0">
              <a:solidFill>
                <a:srgbClr val="000000"/>
              </a:solidFill>
              <a:latin typeface="Times New Roman" pitchFamily="1" charset="0"/>
              <a:cs typeface="Times New Roman" pitchFamily="1" charset="0"/>
            </a:rPr>
            <a:t>    Total_AG_biomass_Jenkins (lbs) = Exp(Jenkins_Total_B1 + Jenkins_Total_B2 * ln( DBH × 2.54 )) × 2.2046</a:t>
          </a: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Each species specific Jenkins_Total_B1 and B2 is presented in "coeff 1" tabl </a:t>
          </a: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Stem_ratio = Exp( Jenkins_Stem_Wood_Ratio_B1 + Jenkins_Stem_Wood_Ratio_B2 / ( DBH × 2.54 ))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Each species specific Jenkins_Stem_Wood_Ratio_B1 and B2 is presented in "coeff 1" tabl </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Bark_ratio = Exp( Jenkins_Stem_Bark_Ratio_B1 + Jenkins_Stem_Bark_Ratio_B2 / ( DBH × 2.54 ))</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Each species specific Jenkins_Stem_Bark_Ratio_B1 and B2 is presented in "coeff 1" tabl </a:t>
          </a: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Foliage_ratio = Exp( Jenkins_Foliage_Ratio_B1 + Jenkins_Foliage_Ratio_B2 / ( DBH × 2.54 ))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Each species specific Jenkins_Foliage_Ratio_B1 and B2 is presented in "coeff 1" tabl </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Stem_biomass_Jenkins (lbs) = Total_AG_biomass_Jenkins × Stem_ratio </a:t>
          </a: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Bark_biomass_Jenkins (lbs) = Total_AG_biomass_Jenkins × Bark_ratio</a:t>
          </a: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Bole_biomass_Jenkins (lbs) = Stem_biomass_Jenkins + Bark_biomass_Jenkins</a:t>
          </a: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Foliage_biomass_Jenkins (lbs) = Total_AG_biomass_Jenkins × Foliage_ratio</a:t>
          </a: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Stump_biomass (lbs) = Stump Bark Biomass + Stump Wood Biomass</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Stump_vol_DIB = 0.005454153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DBH2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  A2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(5.62462 × A × B ) + (8.50038 </a:t>
          </a:r>
          <a:r>
            <a:rPr lang="en-US" sz="1200" b="1" i="0" u="none" strike="noStrike" baseline="0">
              <a:solidFill>
                <a:srgbClr val="000000"/>
              </a:solidFill>
              <a:latin typeface="Times New Roman" pitchFamily="1" charset="0"/>
              <a:cs typeface="Times New Roman" pitchFamily="1" charset="0"/>
            </a:rPr>
            <a:t>×</a:t>
          </a:r>
          <a:r>
            <a:rPr lang="en-US" sz="1000" b="0" i="0" u="none" strike="noStrike" baseline="0">
              <a:solidFill>
                <a:srgbClr val="000000"/>
              </a:solidFill>
              <a:latin typeface="Calibri" charset="0"/>
              <a:cs typeface="Calibri" charset="0"/>
            </a:rPr>
            <a:t> </a:t>
          </a:r>
          <a:r>
            <a:rPr lang="en-US" sz="1200" b="0" i="0" u="none" strike="noStrike" baseline="0">
              <a:solidFill>
                <a:srgbClr val="000000"/>
              </a:solidFill>
              <a:latin typeface="Times New Roman" pitchFamily="1" charset="0"/>
              <a:cs typeface="Times New Roman" pitchFamily="1" charset="0"/>
            </a:rPr>
            <a:t>B2) )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 Raile_Stump_DIB_B1 in "coeff 1" tab</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B: Raile_Stump_DIB_B2 in "coeff 1" tab</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Stump_vol_DOB = ( 0.005454153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DBH2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  1 </a:t>
          </a:r>
          <a:r>
            <a:rPr lang="en-US" sz="1200" b="1" i="0" u="none" strike="noStrike" baseline="0">
              <a:solidFill>
                <a:srgbClr val="000000"/>
              </a:solidFill>
              <a:latin typeface="Times New Roman" pitchFamily="1" charset="0"/>
              <a:cs typeface="Times New Roman" pitchFamily="1" charset="0"/>
            </a:rPr>
            <a:t>+ </a:t>
          </a:r>
          <a:r>
            <a:rPr lang="en-US" sz="1200" b="0" i="0" u="none" strike="noStrike" baseline="0">
              <a:solidFill>
                <a:srgbClr val="000000"/>
              </a:solidFill>
              <a:latin typeface="Times New Roman" pitchFamily="1" charset="0"/>
              <a:cs typeface="Times New Roman" pitchFamily="1" charset="0"/>
            </a:rPr>
            <a:t>(5.62462 × C ) + (8.50038 </a:t>
          </a:r>
          <a:r>
            <a:rPr lang="en-US" sz="1200" b="1" i="0" u="none" strike="noStrike" baseline="0">
              <a:solidFill>
                <a:srgbClr val="000000"/>
              </a:solidFill>
              <a:latin typeface="Times New Roman" pitchFamily="1" charset="0"/>
              <a:cs typeface="Times New Roman" pitchFamily="1" charset="0"/>
            </a:rPr>
            <a:t>×</a:t>
          </a:r>
          <a:r>
            <a:rPr lang="en-US" sz="1000" b="0" i="0" u="none" strike="noStrike" baseline="0">
              <a:solidFill>
                <a:srgbClr val="000000"/>
              </a:solidFill>
              <a:latin typeface="Calibri" charset="0"/>
              <a:cs typeface="Calibri" charset="0"/>
            </a:rPr>
            <a:t> </a:t>
          </a:r>
          <a:r>
            <a:rPr lang="en-US" sz="1200" b="0" i="0" u="none" strike="noStrike" baseline="0">
              <a:solidFill>
                <a:srgbClr val="000000"/>
              </a:solidFill>
              <a:latin typeface="Times New Roman" pitchFamily="1" charset="0"/>
              <a:cs typeface="Times New Roman" pitchFamily="1" charset="0"/>
            </a:rPr>
            <a:t>C2) )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C: Raile_Stump_DOB_B1 in "coeff 1" tab</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Stump Bark Biomas = (Stump_vol_DOB - Stump_vol_DIB ) × Bark_SPGR_GREENVOL_DRYW × 62.4</a:t>
          </a:r>
        </a:p>
        <a:p>
          <a:pPr algn="l" rtl="0">
            <a:lnSpc>
              <a:spcPts val="13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Stump Wood Biomass = Stump_vol_DIB × Wood_SPGR_GREENVOL_DRYW × 62.4</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Top_biomass_Jenkins (lbs) = ( Total_AG_biomass_Jenkins - Stem_biomass_Jenkins - Bark_biomass_jenkins -    			         Foliage_biomass_Jenkins - Stump_biomass )</a:t>
          </a: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000000"/>
              </a:solidFill>
              <a:latin typeface="Times New Roman" pitchFamily="1" charset="0"/>
              <a:cs typeface="Times New Roman" pitchFamily="1" charset="0"/>
            </a:rPr>
            <a:t>5) </a:t>
          </a: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r>
            <a:rPr lang="en-US" sz="1200" b="1" i="0" u="none" strike="noStrike" baseline="0">
              <a:solidFill>
                <a:srgbClr val="FF0000"/>
              </a:solidFill>
              <a:latin typeface="Times New Roman" pitchFamily="1" charset="0"/>
              <a:cs typeface="Times New Roman" pitchFamily="1" charset="0"/>
            </a:rPr>
            <a:t>DRYBIO_TOP (lbs) </a:t>
          </a:r>
          <a:r>
            <a:rPr lang="en-US" sz="1200" b="1" i="0" u="none" strike="noStrike" baseline="0">
              <a:solidFill>
                <a:srgbClr val="000000"/>
              </a:solidFill>
              <a:latin typeface="Times New Roman" pitchFamily="1" charset="0"/>
              <a:cs typeface="Times New Roman" pitchFamily="1" charset="0"/>
            </a:rPr>
            <a:t>= Top_biomass_Jenkins × AdjFac</a:t>
          </a: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AdjFac = DRYBIO_BOLE / Bole_biomass_Jenkins</a:t>
          </a:r>
        </a:p>
        <a:p>
          <a:pPr algn="l" rtl="0">
            <a:lnSpc>
              <a:spcPts val="1200"/>
            </a:lnSpc>
            <a:defRPr sz="1000"/>
          </a:pPr>
          <a:endParaRPr lang="en-US" sz="1200" b="0"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r>
            <a:rPr lang="en-US" sz="1200" b="1" i="0" u="none" strike="noStrike" baseline="0">
              <a:solidFill>
                <a:srgbClr val="FF0000"/>
              </a:solidFill>
              <a:latin typeface="Times New Roman" pitchFamily="1" charset="0"/>
              <a:cs typeface="Times New Roman" pitchFamily="1" charset="0"/>
            </a:rPr>
            <a:t>DRYBIO_STUMP (lbs) </a:t>
          </a:r>
          <a:r>
            <a:rPr lang="en-US" sz="1200" b="1" i="0" u="none" strike="noStrike" baseline="0">
              <a:solidFill>
                <a:srgbClr val="000000"/>
              </a:solidFill>
              <a:latin typeface="Times New Roman" pitchFamily="1" charset="0"/>
              <a:cs typeface="Times New Roman" pitchFamily="1" charset="0"/>
            </a:rPr>
            <a:t>= Stump_biomass_Jenkins × AdjFac</a:t>
          </a:r>
        </a:p>
        <a:p>
          <a:pPr algn="l" rtl="0">
            <a:lnSpc>
              <a:spcPts val="1200"/>
            </a:lnSpc>
            <a:defRPr sz="1000"/>
          </a:pPr>
          <a:endParaRPr lang="en-US" sz="1200" b="1" i="0" u="none" strike="noStrike" baseline="0">
            <a:solidFill>
              <a:srgbClr val="000000"/>
            </a:solidFill>
            <a:latin typeface="Times New Roman" pitchFamily="1" charset="0"/>
            <a:cs typeface="Times New Roman" pitchFamily="1" charset="0"/>
          </a:endParaRPr>
        </a:p>
        <a:p>
          <a:pPr algn="l" rtl="0">
            <a:lnSpc>
              <a:spcPts val="1300"/>
            </a:lnSpc>
            <a:defRPr sz="1000"/>
          </a:pPr>
          <a:r>
            <a:rPr lang="en-US" sz="1200" b="0"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r>
            <a:rPr lang="en-US" sz="1200" b="1" i="0" u="none" strike="noStrike" baseline="0">
              <a:solidFill>
                <a:srgbClr val="FF0000"/>
              </a:solidFill>
              <a:latin typeface="Times New Roman" pitchFamily="1" charset="0"/>
              <a:cs typeface="Times New Roman" pitchFamily="1" charset="0"/>
            </a:rPr>
            <a:t>DRYBIOT (lbs)</a:t>
          </a:r>
          <a:r>
            <a:rPr lang="en-US" sz="1200" b="1" i="0" u="none" strike="noStrike" baseline="0">
              <a:solidFill>
                <a:srgbClr val="000000"/>
              </a:solidFill>
              <a:latin typeface="Times New Roman" pitchFamily="1" charset="0"/>
              <a:cs typeface="Times New Roman" pitchFamily="1" charset="0"/>
            </a:rPr>
            <a:t> = DRYBIO_BOLE + DRYBIO_TOP + DRYBIOT_STUMP</a:t>
          </a:r>
          <a:r>
            <a:rPr lang="en-US" sz="1200" b="0" i="0" u="none" strike="noStrike" baseline="0">
              <a:solidFill>
                <a:srgbClr val="000000"/>
              </a:solidFill>
              <a:latin typeface="Times New Roman" pitchFamily="1" charset="0"/>
              <a:cs typeface="Times New Roman" pitchFamily="1" charset="0"/>
            </a:rPr>
            <a:t>           </a:t>
          </a:r>
        </a:p>
        <a:p>
          <a:pPr algn="l" rtl="0">
            <a:lnSpc>
              <a:spcPts val="1300"/>
            </a:lnSpc>
            <a:defRPr sz="1000"/>
          </a:pPr>
          <a:r>
            <a:rPr lang="en-US" sz="1200" b="1" i="0" u="none" strike="noStrike" baseline="0">
              <a:solidFill>
                <a:srgbClr val="000000"/>
              </a:solidFill>
              <a:latin typeface="Times New Roman" pitchFamily="1" charset="0"/>
              <a:cs typeface="Times New Roman" pitchFamily="1" charset="0"/>
            </a:rPr>
            <a:t>    </a:t>
          </a:r>
        </a:p>
        <a:p>
          <a:pPr algn="l" rtl="0">
            <a:lnSpc>
              <a:spcPts val="1200"/>
            </a:lnSpc>
            <a:defRPr sz="1000"/>
          </a:pPr>
          <a:r>
            <a:rPr lang="en-US" sz="1200" b="0" i="0" u="none" strike="noStrike" baseline="0">
              <a:solidFill>
                <a:srgbClr val="000000"/>
              </a:solidFill>
              <a:latin typeface="Times New Roman" pitchFamily="1" charset="0"/>
              <a:cs typeface="Times New Roman" pitchFamily="1" charset="0"/>
            </a:rPr>
            <a:t>      </a:t>
          </a:r>
        </a:p>
      </xdr:txBody>
    </xdr:sp>
    <xdr:clientData/>
  </xdr:twoCellAnchor>
  <xdr:twoCellAnchor>
    <xdr:from>
      <xdr:col>3</xdr:col>
      <xdr:colOff>165100</xdr:colOff>
      <xdr:row>11</xdr:row>
      <xdr:rowOff>38100</xdr:rowOff>
    </xdr:from>
    <xdr:to>
      <xdr:col>10</xdr:col>
      <xdr:colOff>876300</xdr:colOff>
      <xdr:row>12</xdr:row>
      <xdr:rowOff>114300</xdr:rowOff>
    </xdr:to>
    <xdr:sp macro="" textlink="">
      <xdr:nvSpPr>
        <xdr:cNvPr id="6" name="TextBox 5">
          <a:extLst>
            <a:ext uri="{FF2B5EF4-FFF2-40B4-BE49-F238E27FC236}">
              <a16:creationId xmlns:a16="http://schemas.microsoft.com/office/drawing/2014/main" id="{90FF6AD0-72B5-C64C-A4A6-2AEE854B77B2}"/>
            </a:ext>
          </a:extLst>
        </xdr:cNvPr>
        <xdr:cNvSpPr txBox="1"/>
      </xdr:nvSpPr>
      <xdr:spPr>
        <a:xfrm>
          <a:off x="3098800" y="3276600"/>
          <a:ext cx="574040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Trunk Vol = bole + stump (outside bark)</a:t>
          </a:r>
        </a:p>
      </xdr:txBody>
    </xdr:sp>
    <xdr:clientData/>
  </xdr:twoCellAnchor>
  <xdr:twoCellAnchor>
    <xdr:from>
      <xdr:col>0</xdr:col>
      <xdr:colOff>12700</xdr:colOff>
      <xdr:row>43</xdr:row>
      <xdr:rowOff>50800</xdr:rowOff>
    </xdr:from>
    <xdr:to>
      <xdr:col>14</xdr:col>
      <xdr:colOff>787400</xdr:colOff>
      <xdr:row>57</xdr:row>
      <xdr:rowOff>50800</xdr:rowOff>
    </xdr:to>
    <xdr:sp macro="" textlink="">
      <xdr:nvSpPr>
        <xdr:cNvPr id="4" name="TextBox 3">
          <a:extLst>
            <a:ext uri="{FF2B5EF4-FFF2-40B4-BE49-F238E27FC236}">
              <a16:creationId xmlns:a16="http://schemas.microsoft.com/office/drawing/2014/main" id="{BF5941C7-7E70-4D47-B982-AEF0D43ECE9D}"/>
            </a:ext>
          </a:extLst>
        </xdr:cNvPr>
        <xdr:cNvSpPr txBox="1"/>
      </xdr:nvSpPr>
      <xdr:spPr>
        <a:xfrm>
          <a:off x="12700" y="10160000"/>
          <a:ext cx="14312900" cy="284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This worksheet allows the user to</a:t>
          </a:r>
          <a:r>
            <a:rPr lang="en-US" sz="1600" b="1" baseline="0"/>
            <a:t> </a:t>
          </a:r>
          <a:r>
            <a:rPr lang="en-US" sz="1600" b="1"/>
            <a:t>compare the trunk volume of a white pine computed through the FIA and the direct modeling method of the Native Tree Society (NTS) that employs a trunk form factor. Thus for a sample pine, its DBH,</a:t>
          </a:r>
          <a:r>
            <a:rPr lang="en-US" sz="1600" b="1" baseline="0"/>
            <a:t> height, and trunk form factor must be known to be able to make the comparison.  This worksheet applies the FIA model to get full above ground biomass as shown in cell O2.  </a:t>
          </a:r>
        </a:p>
        <a:p>
          <a:endParaRPr lang="en-US" sz="1600" b="1" baseline="0"/>
        </a:p>
        <a:p>
          <a:r>
            <a:rPr lang="en-US" sz="1600" b="1" baseline="0"/>
            <a:t>The volume comparisons are cells </a:t>
          </a:r>
          <a:r>
            <a:rPr lang="en-US" sz="1600" b="1" baseline="0">
              <a:solidFill>
                <a:srgbClr val="FF0000"/>
              </a:solidFill>
            </a:rPr>
            <a:t>K10</a:t>
          </a:r>
          <a:r>
            <a:rPr lang="en-US" sz="1600" b="1" baseline="0"/>
            <a:t> and </a:t>
          </a:r>
          <a:r>
            <a:rPr lang="en-US" sz="1600" b="1" baseline="0">
              <a:solidFill>
                <a:srgbClr val="FF0000"/>
              </a:solidFill>
            </a:rPr>
            <a:t>L37</a:t>
          </a:r>
          <a:r>
            <a:rPr lang="en-US" sz="1600" b="1" baseline="0"/>
            <a:t>. </a:t>
          </a:r>
        </a:p>
        <a:p>
          <a:endParaRPr lang="en-US" sz="1600" b="1" baseline="0"/>
        </a:p>
        <a:p>
          <a:r>
            <a:rPr lang="en-US" sz="1600" b="1" baseline="0"/>
            <a:t>To get a direct NTS to FIA stump volume comparison enter the circumference at the base and one foot above (if available) in cells G42 and I42 above, The comparison will be to that in cell L25.  </a:t>
          </a:r>
          <a:endParaRPr lang="en-US" sz="1600" b="1"/>
        </a:p>
      </xdr:txBody>
    </xdr:sp>
    <xdr:clientData/>
  </xdr:twoCellAnchor>
  <xdr:twoCellAnchor>
    <xdr:from>
      <xdr:col>16</xdr:col>
      <xdr:colOff>228600</xdr:colOff>
      <xdr:row>0</xdr:row>
      <xdr:rowOff>76200</xdr:rowOff>
    </xdr:from>
    <xdr:to>
      <xdr:col>26</xdr:col>
      <xdr:colOff>800100</xdr:colOff>
      <xdr:row>9</xdr:row>
      <xdr:rowOff>76200</xdr:rowOff>
    </xdr:to>
    <xdr:sp macro="" textlink="">
      <xdr:nvSpPr>
        <xdr:cNvPr id="5" name="TextBox 4">
          <a:extLst>
            <a:ext uri="{FF2B5EF4-FFF2-40B4-BE49-F238E27FC236}">
              <a16:creationId xmlns:a16="http://schemas.microsoft.com/office/drawing/2014/main" id="{28F580F2-C082-A34B-A06D-4E19B5E16BAE}"/>
            </a:ext>
          </a:extLst>
        </xdr:cNvPr>
        <xdr:cNvSpPr txBox="1"/>
      </xdr:nvSpPr>
      <xdr:spPr>
        <a:xfrm>
          <a:off x="18199100" y="76200"/>
          <a:ext cx="8407400" cy="275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Row #3 shows Jenkins determinations. Jenkins VOLCFGRS is based on a model that uses only DBH.</a:t>
          </a:r>
        </a:p>
        <a:p>
          <a:endParaRPr lang="en-US" sz="1400" b="1"/>
        </a:p>
        <a:p>
          <a:r>
            <a:rPr lang="en-US" sz="1400" b="1"/>
            <a:t>Cell P2 shows the trunk form factor computed as follows:   =K7/((G2/12)^2/4*PI()*H2)</a:t>
          </a:r>
        </a:p>
        <a:p>
          <a:endParaRPr lang="en-US" sz="1400" b="1"/>
        </a:p>
        <a:p>
          <a:r>
            <a:rPr lang="en-US" sz="1400" b="1"/>
            <a:t>The calculations</a:t>
          </a:r>
          <a:r>
            <a:rPr lang="en-US" sz="1400" b="1" baseline="0"/>
            <a:t> on row #2 use the COLE regression-based model. It uses both DBH and Height to compute VOLCFGRS, and elements of Jenkins model and Raile determination of stump volume and mass. It is a hybrid model.</a:t>
          </a:r>
        </a:p>
        <a:p>
          <a:endParaRPr lang="en-US" sz="1400" b="1" baseline="0"/>
        </a:p>
        <a:p>
          <a:r>
            <a:rPr lang="en-US" sz="1400" b="1" baseline="0"/>
            <a:t>The top to (bole + stump ratio) shown in cell N36  varies  with DBH. </a:t>
          </a:r>
        </a:p>
        <a:p>
          <a:r>
            <a:rPr lang="en-US" sz="1400" b="1" baseline="0"/>
            <a:t> </a:t>
          </a:r>
          <a:endParaRPr 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0210B-8E30-D147-A312-0E87CC048AF2}">
  <dimension ref="A1:P42"/>
  <sheetViews>
    <sheetView tabSelected="1" workbookViewId="0">
      <selection activeCell="G3" sqref="G3"/>
    </sheetView>
  </sheetViews>
  <sheetFormatPr baseColWidth="10" defaultRowHeight="16"/>
  <cols>
    <col min="2" max="2" width="25" customWidth="1"/>
    <col min="3" max="4" width="2.6640625" customWidth="1"/>
    <col min="5" max="5" width="3.83203125" customWidth="1"/>
    <col min="6" max="6" width="4" customWidth="1"/>
    <col min="7" max="7" width="15.6640625" bestFit="1" customWidth="1"/>
    <col min="8" max="8" width="13.83203125" customWidth="1"/>
    <col min="9" max="9" width="16.83203125" customWidth="1"/>
    <col min="10" max="10" width="14" customWidth="1"/>
    <col min="11" max="11" width="28.5" customWidth="1"/>
    <col min="12" max="12" width="25.5" customWidth="1"/>
    <col min="13" max="13" width="15.33203125" customWidth="1"/>
    <col min="14" max="14" width="20.83203125" customWidth="1"/>
    <col min="15" max="15" width="25.83203125" customWidth="1"/>
    <col min="16" max="16" width="15.33203125" customWidth="1"/>
    <col min="17" max="17" width="5.33203125" customWidth="1"/>
  </cols>
  <sheetData>
    <row r="1" spans="1:16" ht="44">
      <c r="A1" s="61" t="s">
        <v>129</v>
      </c>
      <c r="G1" s="126" t="s">
        <v>14</v>
      </c>
      <c r="H1" s="127" t="s">
        <v>128</v>
      </c>
      <c r="I1" s="128" t="s">
        <v>15</v>
      </c>
      <c r="J1" s="127" t="s">
        <v>7</v>
      </c>
      <c r="K1" s="129" t="s">
        <v>8</v>
      </c>
      <c r="L1" s="129" t="s">
        <v>9</v>
      </c>
      <c r="M1" s="129" t="s">
        <v>10</v>
      </c>
      <c r="N1" s="129" t="s">
        <v>11</v>
      </c>
      <c r="O1" s="129" t="s">
        <v>12</v>
      </c>
      <c r="P1" s="130" t="s">
        <v>13</v>
      </c>
    </row>
    <row r="2" spans="1:16" s="3" customFormat="1" ht="18" customHeight="1">
      <c r="A2" s="132">
        <v>802</v>
      </c>
      <c r="B2" s="133" t="s">
        <v>182</v>
      </c>
      <c r="C2" s="133" t="s">
        <v>183</v>
      </c>
      <c r="D2" s="133" t="s">
        <v>184</v>
      </c>
      <c r="E2" s="133"/>
      <c r="F2" s="133"/>
      <c r="G2" s="134">
        <f>4.95/PI()*12</f>
        <v>18.907607239317169</v>
      </c>
      <c r="H2" s="135">
        <v>97.6</v>
      </c>
      <c r="I2" s="136">
        <f>Coeff_2!H2*((G2^2)*H2)</f>
        <v>63.503015728859687</v>
      </c>
      <c r="J2" s="135">
        <v>0</v>
      </c>
      <c r="K2" s="136">
        <f t="shared" ref="K2" si="0">I2*(1-(J2/100))</f>
        <v>63.503015728859687</v>
      </c>
      <c r="L2" s="136">
        <f>(K2*Coeff_1!BH2/100)*(Coeff_1!AZ2*62.4)+(K2*Coeff_1!AX2*62.4)</f>
        <v>2732.6008099491905</v>
      </c>
      <c r="M2" s="136">
        <f>Coeff_2!X2*Coeff_2!Y2</f>
        <v>547.6495087409869</v>
      </c>
      <c r="N2" s="136">
        <f>Coeff_2!W2*Coeff_2!Y2</f>
        <v>128.16255090179018</v>
      </c>
      <c r="O2" s="136">
        <f t="shared" ref="O2" si="1">L2+M2+N2</f>
        <v>3408.412869591968</v>
      </c>
      <c r="P2" s="137">
        <f>K7/((G2/12)^2/4*PI()*H2)</f>
        <v>0.40612891890123692</v>
      </c>
    </row>
    <row r="3" spans="1:16" ht="22" thickBot="1">
      <c r="B3" s="64" t="s">
        <v>169</v>
      </c>
      <c r="I3" s="116">
        <f>Coeff_2!N2/(Coeff_1!AX2*62.4)</f>
        <v>64.0860902989902</v>
      </c>
      <c r="J3" s="108"/>
      <c r="K3" s="108"/>
      <c r="L3" s="116">
        <f>Coeff_2!P2</f>
        <v>2870.2218648099852</v>
      </c>
      <c r="M3" s="116">
        <f>Coeff_2!X2</f>
        <v>575.23059662346179</v>
      </c>
      <c r="N3" s="116">
        <f>Coeff_2!W2</f>
        <v>134.61715831628575</v>
      </c>
      <c r="O3" s="116">
        <f>L3+M3+N3</f>
        <v>3580.0696197497327</v>
      </c>
      <c r="P3" s="131">
        <f>Coeff_2!M2</f>
        <v>3649.7261278047108</v>
      </c>
    </row>
    <row r="4" spans="1:16" ht="21" thickBot="1">
      <c r="I4" s="70" t="s">
        <v>16</v>
      </c>
      <c r="J4" s="70"/>
      <c r="K4" s="70">
        <f>Coeff_1!BH2/100*K2</f>
        <v>10.160482516617551</v>
      </c>
      <c r="O4" s="109" t="s">
        <v>170</v>
      </c>
      <c r="P4" s="109" t="s">
        <v>171</v>
      </c>
    </row>
    <row r="5" spans="1:16" ht="29" thickBot="1">
      <c r="I5" s="70" t="s">
        <v>26</v>
      </c>
      <c r="J5" s="70"/>
      <c r="K5" s="70">
        <f>K2+K4</f>
        <v>73.663498245477243</v>
      </c>
      <c r="N5" s="50" t="s">
        <v>121</v>
      </c>
      <c r="O5" s="50">
        <f>O2*(1-Coeff_2!K2)</f>
        <v>3343.3619232492547</v>
      </c>
    </row>
    <row r="6" spans="1:16" ht="21" thickBot="1">
      <c r="I6" s="70" t="s">
        <v>118</v>
      </c>
      <c r="J6" s="70"/>
      <c r="K6" s="70">
        <f>0.005454153*(G2^2)*(1+(5.62462*Coeff_1!BJ2)+(8.50038*(Coeff_1!BJ2^2)))</f>
        <v>3.6248928213159308</v>
      </c>
      <c r="N6" s="50" t="s">
        <v>122</v>
      </c>
      <c r="O6" s="50">
        <f>Coeff_2!Q2</f>
        <v>69.656508054977877</v>
      </c>
    </row>
    <row r="7" spans="1:16" ht="22" thickBot="1">
      <c r="I7" s="72" t="s">
        <v>136</v>
      </c>
      <c r="J7" s="73"/>
      <c r="K7" s="74">
        <f>K5+K6</f>
        <v>77.288391066793167</v>
      </c>
      <c r="L7" s="74">
        <f>0.33363*H2*G10^2</f>
        <v>80.839862399341598</v>
      </c>
      <c r="M7" s="118">
        <f>(K7-L7)/K7</f>
        <v>-4.5950902632702295E-2</v>
      </c>
      <c r="N7" s="110" t="s">
        <v>141</v>
      </c>
      <c r="O7" s="110">
        <f>M2/(L2+N2)</f>
        <v>0.19143474648601469</v>
      </c>
    </row>
    <row r="8" spans="1:16" ht="21" thickBot="1">
      <c r="L8" s="117" t="s">
        <v>179</v>
      </c>
      <c r="M8" s="74" t="s">
        <v>180</v>
      </c>
      <c r="N8" s="74"/>
      <c r="O8" s="74"/>
    </row>
    <row r="9" spans="1:16" ht="22" thickBot="1">
      <c r="B9" s="15"/>
      <c r="C9" s="11"/>
      <c r="D9" s="11"/>
      <c r="E9" s="11"/>
      <c r="F9" s="11"/>
      <c r="G9" s="17" t="s">
        <v>19</v>
      </c>
      <c r="H9" s="45" t="s">
        <v>20</v>
      </c>
      <c r="I9" s="18" t="s">
        <v>21</v>
      </c>
      <c r="J9" s="17" t="s">
        <v>13</v>
      </c>
      <c r="K9" s="18" t="s">
        <v>22</v>
      </c>
    </row>
    <row r="10" spans="1:16" ht="22" thickBot="1">
      <c r="B10" s="16" t="s">
        <v>18</v>
      </c>
      <c r="C10" s="13"/>
      <c r="D10" s="13"/>
      <c r="E10" s="13"/>
      <c r="F10" s="13"/>
      <c r="G10" s="16">
        <f>G2/12</f>
        <v>1.575633936609764</v>
      </c>
      <c r="H10" s="12">
        <f>PI()*G10^2/4</f>
        <v>1.949846996554583</v>
      </c>
      <c r="I10" s="14">
        <f>H2</f>
        <v>97.6</v>
      </c>
      <c r="J10" s="80">
        <v>0.47625000000000001</v>
      </c>
      <c r="K10" s="69">
        <f>H10*I10*J10</f>
        <v>90.632788093850124</v>
      </c>
      <c r="L10" s="81" t="s">
        <v>149</v>
      </c>
      <c r="M10" s="11"/>
      <c r="N10" s="44"/>
    </row>
    <row r="11" spans="1:16" ht="22" thickBot="1">
      <c r="B11" s="16" t="s">
        <v>134</v>
      </c>
      <c r="D11" s="71"/>
      <c r="E11" s="11"/>
      <c r="F11" s="11"/>
      <c r="G11" s="11"/>
      <c r="H11" s="11"/>
      <c r="I11" s="11"/>
      <c r="J11" s="44"/>
      <c r="K11" s="62">
        <f>K10*(1+N36)</f>
        <v>107.98305290591701</v>
      </c>
      <c r="L11" s="63" t="s">
        <v>130</v>
      </c>
      <c r="M11" s="21">
        <f>Coeff_1!AX2</f>
        <v>0.60000000000000009</v>
      </c>
      <c r="N11" s="21">
        <f>M11*62.4</f>
        <v>37.440000000000005</v>
      </c>
      <c r="O11" s="22" t="s">
        <v>132</v>
      </c>
    </row>
    <row r="12" spans="1:16" ht="20" thickBot="1">
      <c r="L12" s="64" t="s">
        <v>131</v>
      </c>
      <c r="M12" s="21">
        <f>Coeff_1!AZ2</f>
        <v>0.56000000000000005</v>
      </c>
      <c r="N12" s="20">
        <f>M12*62.4</f>
        <v>34.944000000000003</v>
      </c>
      <c r="O12" s="19" t="s">
        <v>133</v>
      </c>
    </row>
    <row r="13" spans="1:16" ht="17" thickBot="1"/>
    <row r="14" spans="1:16" ht="17" thickBot="1">
      <c r="L14" s="43" t="s">
        <v>137</v>
      </c>
      <c r="M14" s="46"/>
      <c r="N14" s="47"/>
    </row>
    <row r="15" spans="1:16" ht="17" thickBot="1">
      <c r="L15" s="23" t="s">
        <v>34</v>
      </c>
      <c r="M15" s="24" t="s">
        <v>28</v>
      </c>
      <c r="N15" s="25" t="s">
        <v>29</v>
      </c>
    </row>
    <row r="16" spans="1:16">
      <c r="L16" s="26">
        <f>I2</f>
        <v>63.503015728859687</v>
      </c>
      <c r="M16" s="27">
        <f>N11</f>
        <v>37.440000000000005</v>
      </c>
      <c r="N16" s="28">
        <f>L16*M16</f>
        <v>2377.5529088885069</v>
      </c>
    </row>
    <row r="17" spans="12:14">
      <c r="L17" s="29"/>
      <c r="M17" s="30"/>
      <c r="N17" s="31"/>
    </row>
    <row r="18" spans="12:14" ht="17" thickBot="1">
      <c r="L18" s="34"/>
      <c r="M18" s="35"/>
      <c r="N18" s="36"/>
    </row>
    <row r="19" spans="12:14" ht="17" thickBot="1">
      <c r="L19" s="23" t="s">
        <v>16</v>
      </c>
      <c r="M19" s="24" t="s">
        <v>30</v>
      </c>
      <c r="N19" s="25" t="s">
        <v>31</v>
      </c>
    </row>
    <row r="20" spans="12:14">
      <c r="L20" s="37">
        <f>K4</f>
        <v>10.160482516617551</v>
      </c>
      <c r="M20" s="27">
        <f>N12</f>
        <v>34.944000000000003</v>
      </c>
      <c r="N20" s="38">
        <f>L20*M20</f>
        <v>355.04790106068373</v>
      </c>
    </row>
    <row r="21" spans="12:14" ht="17" thickBot="1">
      <c r="L21" s="34"/>
      <c r="M21" s="35"/>
      <c r="N21" s="36"/>
    </row>
    <row r="22" spans="12:14" ht="17" thickBot="1">
      <c r="L22" s="23" t="s">
        <v>27</v>
      </c>
      <c r="M22" s="24"/>
      <c r="N22" s="49">
        <f>N16+N20</f>
        <v>2732.6008099491905</v>
      </c>
    </row>
    <row r="23" spans="12:14" ht="17" thickBot="1">
      <c r="L23" s="39"/>
      <c r="M23" s="40"/>
      <c r="N23" s="41"/>
    </row>
    <row r="24" spans="12:14" ht="17" thickBot="1">
      <c r="L24" s="23" t="s">
        <v>17</v>
      </c>
      <c r="M24" s="24" t="s">
        <v>127</v>
      </c>
      <c r="N24" s="25" t="s">
        <v>32</v>
      </c>
    </row>
    <row r="25" spans="12:14">
      <c r="L25" s="37">
        <f>K6</f>
        <v>3.6248928213159308</v>
      </c>
      <c r="M25" s="27">
        <f>(Coeff_2!U2+Coeff_2!V2)/Coeff_2!T2</f>
        <v>37.136865819777867</v>
      </c>
      <c r="N25" s="38">
        <f>N2</f>
        <v>128.16255090179018</v>
      </c>
    </row>
    <row r="26" spans="12:14" ht="17" thickBot="1">
      <c r="L26" s="34"/>
      <c r="M26" s="35"/>
      <c r="N26" s="36"/>
    </row>
    <row r="27" spans="12:14" ht="17" thickBot="1">
      <c r="L27" s="23" t="s">
        <v>33</v>
      </c>
      <c r="M27" s="24"/>
      <c r="N27" s="48">
        <f>N22+N25</f>
        <v>2860.7633608509809</v>
      </c>
    </row>
    <row r="28" spans="12:14" ht="17" thickBot="1">
      <c r="L28" s="42"/>
      <c r="M28" s="27"/>
      <c r="N28" s="28"/>
    </row>
    <row r="29" spans="12:14" ht="17" thickBot="1">
      <c r="L29" s="23" t="s">
        <v>123</v>
      </c>
      <c r="M29" s="33"/>
      <c r="N29" s="51">
        <f>O6</f>
        <v>69.656508054977877</v>
      </c>
    </row>
    <row r="30" spans="12:14">
      <c r="L30" s="29"/>
      <c r="M30" s="30"/>
      <c r="N30" s="31"/>
    </row>
    <row r="31" spans="12:14">
      <c r="L31" s="52" t="s">
        <v>124</v>
      </c>
      <c r="M31" s="30"/>
      <c r="N31" s="51">
        <f>M2</f>
        <v>547.6495087409869</v>
      </c>
    </row>
    <row r="32" spans="12:14">
      <c r="L32" s="32"/>
      <c r="M32" s="30"/>
      <c r="N32" s="31"/>
    </row>
    <row r="33" spans="2:15">
      <c r="L33" s="29"/>
      <c r="M33" s="30"/>
      <c r="N33" s="31"/>
    </row>
    <row r="34" spans="2:15" ht="17" thickBot="1">
      <c r="L34" s="53" t="s">
        <v>148</v>
      </c>
      <c r="M34" s="54"/>
      <c r="N34" s="55">
        <f>N27+N29+N31</f>
        <v>3478.0693776469461</v>
      </c>
    </row>
    <row r="35" spans="2:15" ht="17" thickBot="1">
      <c r="L35" s="57" t="s">
        <v>125</v>
      </c>
      <c r="M35" s="56"/>
      <c r="N35" s="58">
        <f>N31/N34</f>
        <v>0.15745790243882191</v>
      </c>
    </row>
    <row r="36" spans="2:15" ht="20" thickBot="1">
      <c r="L36" s="57" t="s">
        <v>126</v>
      </c>
      <c r="M36" s="15"/>
      <c r="N36" s="63">
        <f>N31/(N27)</f>
        <v>0.19143474648601469</v>
      </c>
    </row>
    <row r="37" spans="2:15" ht="27" thickBot="1">
      <c r="K37" s="76" t="s">
        <v>138</v>
      </c>
      <c r="L37" s="77">
        <f>L16+L20+L25</f>
        <v>77.288391066793167</v>
      </c>
    </row>
    <row r="38" spans="2:15" ht="27" thickBot="1">
      <c r="K38" s="76" t="s">
        <v>139</v>
      </c>
      <c r="L38" s="78">
        <f>L37*(1+N36)</f>
        <v>92.084074616976679</v>
      </c>
      <c r="M38" s="75" t="s">
        <v>140</v>
      </c>
      <c r="N38" s="44"/>
    </row>
    <row r="40" spans="2:15" ht="17" thickBot="1"/>
    <row r="41" spans="2:15" ht="17" thickBot="1">
      <c r="B41" s="43" t="s">
        <v>135</v>
      </c>
      <c r="C41" s="11"/>
      <c r="D41" s="11"/>
      <c r="E41" s="11"/>
      <c r="F41" s="44"/>
      <c r="G41" s="23" t="s">
        <v>119</v>
      </c>
      <c r="H41" s="24" t="s">
        <v>120</v>
      </c>
      <c r="I41" s="24" t="s">
        <v>23</v>
      </c>
      <c r="J41" s="24" t="s">
        <v>24</v>
      </c>
      <c r="K41" s="25" t="s">
        <v>25</v>
      </c>
    </row>
    <row r="42" spans="2:15" ht="17" thickBot="1">
      <c r="G42" s="65"/>
      <c r="H42" s="66">
        <f>G42/PI()/2</f>
        <v>0</v>
      </c>
      <c r="I42" s="67"/>
      <c r="J42" s="66">
        <f>I42/PI()/2</f>
        <v>0</v>
      </c>
      <c r="K42" s="68">
        <f>PI()*0.333*1*(H42^2+H42*J42+J42^2)</f>
        <v>0</v>
      </c>
      <c r="L42" s="43" t="s">
        <v>117</v>
      </c>
      <c r="M42" s="11"/>
      <c r="N42" s="11"/>
      <c r="O42" s="44"/>
    </row>
  </sheetData>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68E42-D830-BB4E-B423-6A48BF350B46}">
  <dimension ref="A1:BL6"/>
  <sheetViews>
    <sheetView topLeftCell="AM1" workbookViewId="0">
      <selection activeCell="BF2" sqref="BF2"/>
    </sheetView>
  </sheetViews>
  <sheetFormatPr baseColWidth="10" defaultRowHeight="16"/>
  <cols>
    <col min="1" max="5" width="8.6640625" customWidth="1"/>
    <col min="6" max="7" width="3.6640625" customWidth="1"/>
    <col min="8" max="10" width="3.1640625" customWidth="1"/>
    <col min="11" max="11" width="5.6640625" customWidth="1"/>
    <col min="12" max="37" width="3.1640625" customWidth="1"/>
    <col min="38" max="65" width="36.6640625" customWidth="1"/>
  </cols>
  <sheetData>
    <row r="1" spans="1:64" s="4" customFormat="1" ht="12.75" customHeight="1">
      <c r="A1" s="5" t="s">
        <v>35</v>
      </c>
      <c r="B1" s="5" t="s">
        <v>36</v>
      </c>
      <c r="C1" s="5" t="s">
        <v>37</v>
      </c>
      <c r="D1" s="5" t="s">
        <v>38</v>
      </c>
      <c r="E1" s="5" t="s">
        <v>39</v>
      </c>
      <c r="F1" s="5" t="s">
        <v>40</v>
      </c>
      <c r="G1" s="5" t="s">
        <v>41</v>
      </c>
      <c r="H1" s="5" t="s">
        <v>42</v>
      </c>
      <c r="I1" s="5" t="s">
        <v>43</v>
      </c>
      <c r="J1" s="5" t="s">
        <v>44</v>
      </c>
      <c r="K1" s="5" t="s">
        <v>45</v>
      </c>
      <c r="L1" s="5" t="s">
        <v>46</v>
      </c>
      <c r="M1" s="5" t="s">
        <v>47</v>
      </c>
      <c r="N1" s="5" t="s">
        <v>48</v>
      </c>
      <c r="O1" s="5" t="s">
        <v>49</v>
      </c>
      <c r="P1" s="5" t="s">
        <v>50</v>
      </c>
      <c r="Q1" s="5" t="s">
        <v>51</v>
      </c>
      <c r="R1" s="5" t="s">
        <v>52</v>
      </c>
      <c r="S1" s="5" t="s">
        <v>53</v>
      </c>
      <c r="T1" s="5" t="s">
        <v>54</v>
      </c>
      <c r="U1" s="5" t="s">
        <v>55</v>
      </c>
      <c r="V1" s="5" t="s">
        <v>56</v>
      </c>
      <c r="W1" s="5" t="s">
        <v>57</v>
      </c>
      <c r="X1" s="5" t="s">
        <v>58</v>
      </c>
      <c r="Y1" s="5" t="s">
        <v>59</v>
      </c>
      <c r="Z1" s="5" t="s">
        <v>60</v>
      </c>
      <c r="AA1" s="5" t="s">
        <v>61</v>
      </c>
      <c r="AB1" s="5" t="s">
        <v>62</v>
      </c>
      <c r="AC1" s="5" t="s">
        <v>63</v>
      </c>
      <c r="AD1" s="5" t="s">
        <v>64</v>
      </c>
      <c r="AE1" s="5" t="s">
        <v>65</v>
      </c>
      <c r="AF1" s="5" t="s">
        <v>66</v>
      </c>
      <c r="AG1" s="5" t="s">
        <v>67</v>
      </c>
      <c r="AH1" s="5" t="s">
        <v>68</v>
      </c>
      <c r="AI1" s="5" t="s">
        <v>69</v>
      </c>
      <c r="AJ1" s="5" t="s">
        <v>70</v>
      </c>
      <c r="AK1" s="5" t="s">
        <v>71</v>
      </c>
      <c r="AL1" s="5" t="s">
        <v>72</v>
      </c>
      <c r="AM1" s="5" t="s">
        <v>73</v>
      </c>
      <c r="AN1" s="5" t="s">
        <v>74</v>
      </c>
      <c r="AO1" s="5" t="s">
        <v>75</v>
      </c>
      <c r="AP1" s="5" t="s">
        <v>76</v>
      </c>
      <c r="AQ1" s="5" t="s">
        <v>77</v>
      </c>
      <c r="AR1" s="5" t="s">
        <v>78</v>
      </c>
      <c r="AS1" s="5" t="s">
        <v>79</v>
      </c>
      <c r="AT1" s="5" t="s">
        <v>80</v>
      </c>
      <c r="AU1" s="5" t="s">
        <v>81</v>
      </c>
      <c r="AV1" s="5" t="s">
        <v>82</v>
      </c>
      <c r="AW1" s="5" t="s">
        <v>83</v>
      </c>
      <c r="AX1" s="5" t="s">
        <v>84</v>
      </c>
      <c r="AY1" s="5" t="s">
        <v>85</v>
      </c>
      <c r="AZ1" s="5" t="s">
        <v>86</v>
      </c>
      <c r="BA1" s="5" t="s">
        <v>87</v>
      </c>
      <c r="BB1" s="5" t="s">
        <v>88</v>
      </c>
      <c r="BC1" s="5" t="s">
        <v>89</v>
      </c>
      <c r="BD1" s="5" t="s">
        <v>90</v>
      </c>
      <c r="BE1" s="5" t="s">
        <v>91</v>
      </c>
      <c r="BF1" s="5" t="s">
        <v>92</v>
      </c>
      <c r="BG1" s="5" t="s">
        <v>93</v>
      </c>
      <c r="BH1" s="5" t="s">
        <v>94</v>
      </c>
      <c r="BI1" s="5" t="s">
        <v>95</v>
      </c>
      <c r="BJ1" s="5" t="s">
        <v>96</v>
      </c>
      <c r="BK1" s="5" t="s">
        <v>97</v>
      </c>
      <c r="BL1" s="5" t="s">
        <v>98</v>
      </c>
    </row>
    <row r="2" spans="1:64" s="4" customFormat="1" ht="12.75" customHeight="1">
      <c r="A2" s="119" t="s">
        <v>181</v>
      </c>
      <c r="B2" s="119">
        <v>802</v>
      </c>
      <c r="C2" s="120" t="s">
        <v>182</v>
      </c>
      <c r="D2" s="120" t="s">
        <v>183</v>
      </c>
      <c r="E2" s="120" t="s">
        <v>184</v>
      </c>
      <c r="F2" s="120"/>
      <c r="G2" s="120"/>
      <c r="H2" s="120" t="s">
        <v>185</v>
      </c>
      <c r="I2" s="119">
        <v>25</v>
      </c>
      <c r="J2" s="119">
        <v>25</v>
      </c>
      <c r="K2" s="119">
        <v>4</v>
      </c>
      <c r="L2" s="119">
        <v>29</v>
      </c>
      <c r="M2" s="119">
        <v>81</v>
      </c>
      <c r="N2" s="120" t="s">
        <v>0</v>
      </c>
      <c r="O2" s="120" t="s">
        <v>0</v>
      </c>
      <c r="P2" s="120"/>
      <c r="Q2" s="121"/>
      <c r="R2" s="121" t="s">
        <v>0</v>
      </c>
      <c r="S2" s="121" t="s">
        <v>0</v>
      </c>
      <c r="T2" s="121" t="s">
        <v>186</v>
      </c>
      <c r="U2" s="121" t="s">
        <v>0</v>
      </c>
      <c r="V2" s="121" t="s">
        <v>0</v>
      </c>
      <c r="W2" s="121"/>
      <c r="X2" s="121"/>
      <c r="Y2" s="121" t="s">
        <v>0</v>
      </c>
      <c r="Z2" s="121" t="s">
        <v>1</v>
      </c>
      <c r="AA2" s="121"/>
      <c r="AB2" s="121"/>
      <c r="AC2" s="122">
        <v>1.7</v>
      </c>
      <c r="AD2" s="122"/>
      <c r="AE2" s="121" t="s">
        <v>2</v>
      </c>
      <c r="AF2" s="123">
        <v>38407.402997685182</v>
      </c>
      <c r="AG2" s="121" t="s">
        <v>3</v>
      </c>
      <c r="AH2" s="121" t="s">
        <v>4</v>
      </c>
      <c r="AI2" s="123">
        <v>39526.714432870373</v>
      </c>
      <c r="AJ2" s="121" t="s">
        <v>3</v>
      </c>
      <c r="AK2" s="121" t="s">
        <v>187</v>
      </c>
      <c r="AL2" s="124">
        <v>9</v>
      </c>
      <c r="AM2" s="125">
        <v>-2.0127000000000002</v>
      </c>
      <c r="AN2" s="125">
        <v>2.4342000000000001</v>
      </c>
      <c r="AO2" s="125">
        <v>-0.30649999999999999</v>
      </c>
      <c r="AP2" s="125">
        <v>-5.4240000000000004</v>
      </c>
      <c r="AQ2" s="125">
        <v>-2.0129000000000001</v>
      </c>
      <c r="AR2" s="125">
        <v>-1.6805000000000001</v>
      </c>
      <c r="AS2" s="125">
        <v>-4.0812999999999997</v>
      </c>
      <c r="AT2" s="125">
        <v>5.8815999999999997</v>
      </c>
      <c r="AU2" s="125">
        <v>-1.6911</v>
      </c>
      <c r="AV2" s="125">
        <v>0.81600000000000006</v>
      </c>
      <c r="AW2" s="125">
        <v>0.76989000000000007</v>
      </c>
      <c r="AX2" s="125">
        <v>0.60000000000000009</v>
      </c>
      <c r="AY2" s="124">
        <v>1</v>
      </c>
      <c r="AZ2" s="125">
        <v>0.56000000000000005</v>
      </c>
      <c r="BA2" s="124">
        <v>5</v>
      </c>
      <c r="BB2" s="125">
        <v>68.266670000000005</v>
      </c>
      <c r="BC2" s="124">
        <v>5</v>
      </c>
      <c r="BD2" s="125">
        <v>88.875</v>
      </c>
      <c r="BE2" s="124">
        <v>17</v>
      </c>
      <c r="BF2" s="125">
        <v>0.68</v>
      </c>
      <c r="BG2" s="124">
        <v>1</v>
      </c>
      <c r="BH2" s="125">
        <v>16</v>
      </c>
      <c r="BI2" s="124">
        <v>36</v>
      </c>
      <c r="BJ2" s="125">
        <v>0.12798000000000001</v>
      </c>
      <c r="BK2" s="125">
        <v>0.9226700000000001</v>
      </c>
      <c r="BL2" s="125">
        <v>0.12506</v>
      </c>
    </row>
    <row r="5" spans="1:64">
      <c r="A5" s="1"/>
      <c r="B5" s="1"/>
      <c r="C5" s="1"/>
      <c r="D5" s="1"/>
    </row>
    <row r="6" spans="1:64" ht="19">
      <c r="B6" s="13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CA873-7F79-594F-A084-8266B6F90DE6}">
  <dimension ref="A1:Y42"/>
  <sheetViews>
    <sheetView topLeftCell="J1" workbookViewId="0">
      <selection activeCell="P2" sqref="P2"/>
    </sheetView>
  </sheetViews>
  <sheetFormatPr baseColWidth="10" defaultRowHeight="16"/>
  <cols>
    <col min="1" max="10" width="26.1640625" customWidth="1"/>
    <col min="11" max="11" width="30.5" customWidth="1"/>
    <col min="12" max="25" width="26.1640625" customWidth="1"/>
  </cols>
  <sheetData>
    <row r="1" spans="1:25" s="10" customFormat="1" ht="12.75" customHeight="1">
      <c r="A1" s="6" t="s">
        <v>36</v>
      </c>
      <c r="B1" s="6" t="s">
        <v>37</v>
      </c>
      <c r="C1" s="6" t="s">
        <v>38</v>
      </c>
      <c r="D1" s="6" t="s">
        <v>39</v>
      </c>
      <c r="E1" s="6" t="s">
        <v>40</v>
      </c>
      <c r="F1" s="6" t="s">
        <v>41</v>
      </c>
      <c r="G1" s="7"/>
      <c r="H1" s="7" t="s">
        <v>99</v>
      </c>
      <c r="I1" s="8" t="s">
        <v>100</v>
      </c>
      <c r="J1" s="8" t="s">
        <v>101</v>
      </c>
      <c r="K1" s="8" t="s">
        <v>102</v>
      </c>
      <c r="L1" s="7" t="s">
        <v>103</v>
      </c>
      <c r="M1" s="9" t="s">
        <v>104</v>
      </c>
      <c r="N1" s="7" t="s">
        <v>105</v>
      </c>
      <c r="O1" s="7" t="s">
        <v>106</v>
      </c>
      <c r="P1" s="7" t="s">
        <v>107</v>
      </c>
      <c r="Q1" s="7" t="s">
        <v>108</v>
      </c>
      <c r="R1" s="7" t="s">
        <v>109</v>
      </c>
      <c r="S1" s="7" t="s">
        <v>110</v>
      </c>
      <c r="T1" s="7" t="s">
        <v>111</v>
      </c>
      <c r="U1" s="7" t="s">
        <v>112</v>
      </c>
      <c r="V1" s="7" t="s">
        <v>113</v>
      </c>
      <c r="W1" s="7" t="s">
        <v>114</v>
      </c>
      <c r="X1" s="9" t="s">
        <v>115</v>
      </c>
      <c r="Y1" s="8" t="s">
        <v>116</v>
      </c>
    </row>
    <row r="2" spans="1:25" s="149" customFormat="1" ht="24" customHeight="1">
      <c r="A2" s="139">
        <v>802</v>
      </c>
      <c r="B2" s="140" t="s">
        <v>182</v>
      </c>
      <c r="C2" s="140" t="s">
        <v>183</v>
      </c>
      <c r="D2" s="140" t="s">
        <v>184</v>
      </c>
      <c r="E2" s="140"/>
      <c r="F2" s="140"/>
      <c r="G2" s="141"/>
      <c r="H2" s="142">
        <v>1.8200000000000002E-3</v>
      </c>
      <c r="I2" s="143">
        <f>EXP(Coeff_1!AO2+(Coeff_1!AP2/(BioMass!G2*2.54)))</f>
        <v>0.65741459407459935</v>
      </c>
      <c r="J2" s="143">
        <f>EXP(Coeff_1!AQ2+(Coeff_1!AR2/(BioMass!G2*2.54)))</f>
        <v>0.12900656858299636</v>
      </c>
      <c r="K2" s="143">
        <f>EXP(Coeff_1!AS2+(Coeff_1!AT2/(BioMass!G2*2.54)))</f>
        <v>1.9085406854041365E-2</v>
      </c>
      <c r="L2" s="141">
        <f>EXP(Coeff_1!AU2+(Coeff_1!AV2/(BioMass!G2*2.54)))</f>
        <v>0.18747515226308276</v>
      </c>
      <c r="M2" s="144">
        <f>(EXP(Coeff_1!AM2+(Coeff_1!AN2*(LN(BioMass!G2*2.54)))))*2.2046</f>
        <v>3649.7261278047108</v>
      </c>
      <c r="N2" s="144">
        <f t="shared" ref="N2" si="0">M2*I2</f>
        <v>2399.3832207941932</v>
      </c>
      <c r="O2" s="144">
        <f t="shared" ref="O2" si="1">M2*J2</f>
        <v>470.83864401579217</v>
      </c>
      <c r="P2" s="144">
        <f t="shared" ref="P2" si="2">N2+O2</f>
        <v>2870.2218648099852</v>
      </c>
      <c r="Q2" s="145">
        <f t="shared" ref="Q2" si="3">M2*K2</f>
        <v>69.656508054977877</v>
      </c>
      <c r="R2" s="145">
        <f t="shared" ref="R2" si="4">M2*L2</f>
        <v>684.23296152873957</v>
      </c>
      <c r="S2" s="146">
        <f>0.005454153*(BioMass!G2^2)*((Coeff_1!BK2^2)+(5.62462*Coeff_1!BK2*Coeff_1!BL2)+(8.50038*(Coeff_1!BL2^2)))</f>
        <v>3.1846568782940086</v>
      </c>
      <c r="T2" s="146">
        <f>0.005454153*(BioMass!G2^2)*(1+(5.62462*Coeff_1!BJ2)+(8.50038*(Coeff_1!BJ2^2)))</f>
        <v>3.6248928213159308</v>
      </c>
      <c r="U2" s="146">
        <f>(T2-S2)*62.4*Coeff_1!AZ2</f>
        <v>15.383604792958053</v>
      </c>
      <c r="V2" s="147">
        <f>S2*62.4*Coeff_1!AX2</f>
        <v>119.2335535233277</v>
      </c>
      <c r="W2" s="148">
        <f t="shared" ref="W2" si="5">U2+V2</f>
        <v>134.61715831628575</v>
      </c>
      <c r="X2" s="145">
        <f t="shared" ref="X2" si="6">M2-N2-O2-Q2-W2</f>
        <v>575.23059662346179</v>
      </c>
      <c r="Y2" s="148">
        <f>BioMass!L2/P2</f>
        <v>0.95205211954236668</v>
      </c>
    </row>
    <row r="3" spans="1:25">
      <c r="N3" s="79"/>
    </row>
    <row r="4" spans="1:25" ht="17" thickBot="1">
      <c r="B4" s="2"/>
      <c r="N4" s="79"/>
    </row>
    <row r="5" spans="1:25" ht="17" thickBot="1">
      <c r="Q5" s="59" t="s">
        <v>177</v>
      </c>
      <c r="R5" s="115" t="s">
        <v>178</v>
      </c>
    </row>
    <row r="6" spans="1:25" ht="17" thickBot="1">
      <c r="Q6" s="92" t="s">
        <v>172</v>
      </c>
      <c r="R6" s="111">
        <f>I2</f>
        <v>0.65741459407459935</v>
      </c>
    </row>
    <row r="7" spans="1:25" ht="17" thickBot="1">
      <c r="K7" s="43" t="s">
        <v>142</v>
      </c>
      <c r="L7" s="11"/>
      <c r="M7" s="11"/>
      <c r="N7" s="47">
        <f>EXP(M9+(M10/(M11*2.54)))</f>
        <v>5.4279790436188767E-2</v>
      </c>
      <c r="Q7" s="112" t="s">
        <v>173</v>
      </c>
      <c r="R7" s="113">
        <f>J2</f>
        <v>0.12900656858299636</v>
      </c>
    </row>
    <row r="8" spans="1:25" ht="17" thickBot="1">
      <c r="Q8" s="112" t="s">
        <v>174</v>
      </c>
      <c r="R8" s="113">
        <f>K2</f>
        <v>1.9085406854041365E-2</v>
      </c>
    </row>
    <row r="9" spans="1:25" ht="17" thickBot="1">
      <c r="K9" s="82" t="s">
        <v>79</v>
      </c>
      <c r="L9" s="86" t="s">
        <v>143</v>
      </c>
      <c r="M9" s="83">
        <v>-2.9584000000000001</v>
      </c>
      <c r="Q9" s="98" t="s">
        <v>175</v>
      </c>
      <c r="R9" s="114">
        <f>L2</f>
        <v>0.18747515226308276</v>
      </c>
    </row>
    <row r="10" spans="1:25" ht="17" thickBot="1">
      <c r="K10" s="84" t="s">
        <v>80</v>
      </c>
      <c r="L10" s="87" t="s">
        <v>144</v>
      </c>
      <c r="M10" s="85">
        <v>4.4766000000000004</v>
      </c>
    </row>
    <row r="11" spans="1:25" ht="21" thickBot="1">
      <c r="K11" s="88" t="s">
        <v>14</v>
      </c>
      <c r="L11" s="59" t="s">
        <v>150</v>
      </c>
      <c r="M11" s="60">
        <f>10.3/PI()*12</f>
        <v>39.343101932316529</v>
      </c>
      <c r="Q11" s="59" t="s">
        <v>176</v>
      </c>
      <c r="R11" s="96">
        <f>SUM(R6:R9)</f>
        <v>0.99298172177471977</v>
      </c>
    </row>
    <row r="12" spans="1:25" ht="17" thickBot="1">
      <c r="K12" s="90" t="s">
        <v>146</v>
      </c>
      <c r="L12" s="47"/>
      <c r="M12" s="59" t="s">
        <v>151</v>
      </c>
    </row>
    <row r="13" spans="1:25" ht="17" thickBot="1">
      <c r="K13" s="59" t="s">
        <v>145</v>
      </c>
      <c r="L13" s="89">
        <f>Q2</f>
        <v>69.656508054977877</v>
      </c>
      <c r="Q13" s="79"/>
    </row>
    <row r="23" spans="10:16" ht="17" thickBot="1"/>
    <row r="24" spans="10:16" ht="17" thickBot="1">
      <c r="J24" s="91" t="s">
        <v>104</v>
      </c>
      <c r="K24" s="90" t="s">
        <v>147</v>
      </c>
      <c r="L24" s="46"/>
      <c r="M24" s="47"/>
    </row>
    <row r="25" spans="10:16" ht="17" thickBot="1"/>
    <row r="26" spans="10:16" ht="17" thickBot="1">
      <c r="K26" s="92" t="s">
        <v>152</v>
      </c>
      <c r="L26" s="92" t="s">
        <v>154</v>
      </c>
      <c r="M26" s="15" t="s">
        <v>153</v>
      </c>
      <c r="O26" s="79"/>
    </row>
    <row r="27" spans="10:16" ht="22" thickBot="1">
      <c r="K27" s="93" t="s">
        <v>6</v>
      </c>
      <c r="L27" s="93" t="s">
        <v>5</v>
      </c>
      <c r="M27" s="94">
        <f>BioMass!$G$2</f>
        <v>18.907607239317169</v>
      </c>
      <c r="N27" s="63">
        <f>(EXP(K27+(L27*LN(M27*2.54))))*2.2046</f>
        <v>2169.4254028946361</v>
      </c>
      <c r="O27" s="97" t="s">
        <v>159</v>
      </c>
      <c r="P27" s="47"/>
    </row>
    <row r="28" spans="10:16">
      <c r="N28" s="79"/>
      <c r="O28" s="79"/>
    </row>
    <row r="29" spans="10:16" ht="17" thickBot="1"/>
    <row r="30" spans="10:16" ht="17" thickBot="1">
      <c r="K30" s="59" t="s">
        <v>107</v>
      </c>
      <c r="L30" s="89">
        <f>P2</f>
        <v>2870.2218648099852</v>
      </c>
    </row>
    <row r="31" spans="10:16" ht="17" thickBot="1">
      <c r="K31" s="59" t="s">
        <v>155</v>
      </c>
      <c r="L31" s="95">
        <f>BioMass!L2</f>
        <v>2732.6008099491905</v>
      </c>
      <c r="M31" s="97" t="s">
        <v>160</v>
      </c>
      <c r="N31" s="99"/>
      <c r="O31" s="100"/>
    </row>
    <row r="32" spans="10:16" ht="17" thickBot="1">
      <c r="M32" s="98" t="s">
        <v>157</v>
      </c>
    </row>
    <row r="33" spans="11:14" ht="17" thickBot="1">
      <c r="K33" s="59" t="s">
        <v>156</v>
      </c>
      <c r="L33" s="95">
        <f>W2</f>
        <v>134.61715831628575</v>
      </c>
      <c r="M33" s="96">
        <f>Y2</f>
        <v>0.95205211954236668</v>
      </c>
    </row>
    <row r="34" spans="11:14" ht="17" thickBot="1">
      <c r="K34" s="59" t="s">
        <v>158</v>
      </c>
      <c r="L34" s="95">
        <f>L33*M33</f>
        <v>128.16255090179018</v>
      </c>
    </row>
    <row r="35" spans="11:14" ht="17" thickBot="1">
      <c r="M35" s="105" t="s">
        <v>165</v>
      </c>
    </row>
    <row r="36" spans="11:14" ht="17" thickBot="1">
      <c r="K36" s="101" t="s">
        <v>161</v>
      </c>
      <c r="L36" s="102">
        <f>P2</f>
        <v>2870.2218648099852</v>
      </c>
      <c r="M36" s="89">
        <f>L36</f>
        <v>2870.2218648099852</v>
      </c>
    </row>
    <row r="37" spans="11:14" ht="17" thickBot="1">
      <c r="K37" s="101" t="s">
        <v>162</v>
      </c>
      <c r="L37" s="102">
        <f>Q2</f>
        <v>69.656508054977877</v>
      </c>
      <c r="M37" s="89">
        <f>M36+L37</f>
        <v>2939.8783728649632</v>
      </c>
    </row>
    <row r="38" spans="11:14" ht="17" thickBot="1">
      <c r="K38" s="101" t="s">
        <v>163</v>
      </c>
      <c r="L38" s="102">
        <f>W2</f>
        <v>134.61715831628575</v>
      </c>
      <c r="M38" s="89">
        <f>M37+L38</f>
        <v>3074.4955311812491</v>
      </c>
    </row>
    <row r="39" spans="11:14" ht="17" thickBot="1">
      <c r="K39" s="101" t="s">
        <v>164</v>
      </c>
      <c r="L39" s="102">
        <f>X2</f>
        <v>575.23059662346179</v>
      </c>
      <c r="M39" s="89">
        <f>M38+L39</f>
        <v>3649.7261278047108</v>
      </c>
    </row>
    <row r="40" spans="11:14" ht="17" thickBot="1"/>
    <row r="41" spans="11:14" ht="17" thickBot="1">
      <c r="K41" s="101" t="s">
        <v>166</v>
      </c>
      <c r="M41" s="106">
        <f>BioMass!O2</f>
        <v>3408.412869591968</v>
      </c>
    </row>
    <row r="42" spans="11:14" ht="17" thickBot="1">
      <c r="K42" s="103" t="s">
        <v>167</v>
      </c>
      <c r="L42" s="104"/>
      <c r="M42" s="107">
        <f>M39-M41</f>
        <v>241.31325821274277</v>
      </c>
      <c r="N42" s="59"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98C29-9FF8-0F4F-B9E5-BBDFCEE104AC}">
  <dimension ref="A1"/>
  <sheetViews>
    <sheetView workbookViewId="0">
      <selection activeCell="H43" sqref="H43"/>
    </sheetView>
  </sheetViews>
  <sheetFormatPr baseColWidth="10" defaultRowHeight="1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BioMass</vt:lpstr>
      <vt:lpstr>Coeff_1</vt:lpstr>
      <vt:lpstr>Coeff_2</vt:lpstr>
      <vt:lpstr>FF Determination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2019-08-27T23:46:44Z</dcterms:created>
  <dcterms:modified xsi:type="dcterms:W3CDTF">2019-12-29T18:27:23Z</dcterms:modified>
</cp:coreProperties>
</file>