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9"/>
  <workbookPr defaultThemeVersion="166925"/>
  <mc:AlternateContent xmlns:mc="http://schemas.openxmlformats.org/markup-compatibility/2006">
    <mc:Choice Requires="x15">
      <x15ac:absPath xmlns:x15ac="http://schemas.microsoft.com/office/spreadsheetml/2010/11/ac" url="/Users/dbhguru/Desktop/BillMoomawSusanMasinoMaryBooth/Frontiers/RE_ The draft is attached!/Latest Paper/"/>
    </mc:Choice>
  </mc:AlternateContent>
  <xr:revisionPtr revIDLastSave="0" documentId="13_ncr:1_{DFB60F09-E8B8-AE46-85E7-DDB34A85C508}" xr6:coauthVersionLast="36" xr6:coauthVersionMax="36" xr10:uidLastSave="{00000000-0000-0000-0000-000000000000}"/>
  <bookViews>
    <workbookView xWindow="1800" yWindow="460" windowWidth="47920" windowHeight="26640" xr2:uid="{D9CDE0E6-C6BF-1841-B749-5EC4DAEF2E3E}"/>
  </bookViews>
  <sheets>
    <sheet name="Explanation" sheetId="11" r:id="rId1"/>
    <sheet name="Main" sheetId="3" r:id="rId2"/>
    <sheet name="Carbon Summaries" sheetId="10" r:id="rId3"/>
    <sheet name="StandDensities-FIADB" sheetId="12" r:id="rId4"/>
  </sheets>
  <definedNames>
    <definedName name="_xlnm._FilterDatabase" localSheetId="1" hidden="1">Main!$A$3:$T$79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81" i="10" l="1"/>
  <c r="M81" i="10"/>
  <c r="M90" i="10"/>
  <c r="G90" i="10"/>
  <c r="L81" i="10"/>
  <c r="K81" i="10"/>
  <c r="H81" i="10"/>
  <c r="G81" i="10"/>
  <c r="F81" i="10"/>
  <c r="E81" i="10"/>
  <c r="X83" i="3" l="1"/>
  <c r="W83" i="3"/>
  <c r="V83" i="3"/>
  <c r="T83" i="3"/>
  <c r="S83" i="3"/>
  <c r="R83" i="3"/>
  <c r="J84" i="3"/>
  <c r="J83" i="3"/>
  <c r="H84" i="3"/>
  <c r="H83" i="3"/>
  <c r="C64" i="11" l="1"/>
  <c r="N68" i="11"/>
  <c r="L68" i="11"/>
  <c r="K68" i="11"/>
  <c r="I68" i="11"/>
  <c r="H68" i="11"/>
  <c r="F68" i="11"/>
  <c r="E68" i="11"/>
  <c r="N67" i="11"/>
  <c r="M67" i="11"/>
  <c r="L67" i="11"/>
  <c r="K67" i="11"/>
  <c r="J67" i="11"/>
  <c r="I67" i="11"/>
  <c r="H67" i="11"/>
  <c r="G67" i="11"/>
  <c r="F67" i="11"/>
  <c r="E67" i="11"/>
  <c r="D67" i="11"/>
  <c r="N66" i="11"/>
  <c r="M66" i="11"/>
  <c r="L66" i="11"/>
  <c r="K66" i="11"/>
  <c r="J66" i="11"/>
  <c r="H66" i="11"/>
  <c r="G66" i="11"/>
  <c r="F66" i="11"/>
  <c r="E66" i="11"/>
  <c r="D66" i="11"/>
  <c r="N65" i="11"/>
  <c r="M65" i="11"/>
  <c r="I65" i="11"/>
  <c r="H65" i="11"/>
  <c r="G65" i="11"/>
  <c r="I64" i="11"/>
  <c r="C68" i="11"/>
  <c r="C67" i="11"/>
  <c r="C65" i="11"/>
  <c r="G79" i="3"/>
  <c r="G78" i="3"/>
  <c r="G77" i="3"/>
  <c r="G76" i="3"/>
  <c r="G75" i="3"/>
  <c r="G74" i="3"/>
  <c r="G73" i="3"/>
  <c r="G72" i="3"/>
  <c r="G71" i="3"/>
  <c r="G70" i="3"/>
  <c r="G69" i="3"/>
  <c r="G68" i="3"/>
  <c r="G67" i="3"/>
  <c r="G66" i="3"/>
  <c r="G65" i="3"/>
  <c r="G64" i="3"/>
  <c r="G63" i="3"/>
  <c r="G62" i="3"/>
  <c r="G61" i="3"/>
  <c r="G60" i="3"/>
  <c r="G59" i="3"/>
  <c r="G58" i="3"/>
  <c r="G57" i="3"/>
  <c r="G56" i="3"/>
  <c r="G55" i="3"/>
  <c r="G54" i="3"/>
  <c r="G53" i="3"/>
  <c r="G52" i="3"/>
  <c r="G51" i="3"/>
  <c r="G50" i="3"/>
  <c r="G49" i="3"/>
  <c r="G48" i="3"/>
  <c r="G47" i="3"/>
  <c r="G46" i="3"/>
  <c r="G45" i="3"/>
  <c r="G44" i="3"/>
  <c r="G43" i="3"/>
  <c r="G42" i="3"/>
  <c r="G41" i="3"/>
  <c r="G40" i="3"/>
  <c r="G39" i="3"/>
  <c r="G38" i="3"/>
  <c r="G37" i="3"/>
  <c r="G36" i="3"/>
  <c r="G35" i="3"/>
  <c r="G34" i="3"/>
  <c r="G33" i="3"/>
  <c r="G32" i="3"/>
  <c r="G31" i="3"/>
  <c r="G30" i="3"/>
  <c r="G29" i="3"/>
  <c r="G28" i="3"/>
  <c r="G27" i="3"/>
  <c r="G26" i="3"/>
  <c r="G25" i="3"/>
  <c r="G24" i="3"/>
  <c r="G23" i="3"/>
  <c r="G22" i="3"/>
  <c r="G21" i="3"/>
  <c r="G20" i="3"/>
  <c r="G19" i="3"/>
  <c r="G18" i="3"/>
  <c r="G17" i="3"/>
  <c r="G16" i="3"/>
  <c r="G15" i="3"/>
  <c r="G14" i="3"/>
  <c r="G13" i="3"/>
  <c r="G12" i="3"/>
  <c r="G11" i="3"/>
  <c r="G10" i="3"/>
  <c r="G9" i="3"/>
  <c r="G8" i="3"/>
  <c r="G7" i="3"/>
  <c r="G6" i="3"/>
  <c r="G5" i="3"/>
  <c r="G4" i="3"/>
  <c r="N96" i="10" l="1"/>
  <c r="N95" i="10"/>
  <c r="M95" i="10"/>
  <c r="H96" i="10"/>
  <c r="I95" i="10" l="1"/>
  <c r="J88" i="10"/>
  <c r="M96" i="10"/>
  <c r="L96" i="10"/>
  <c r="K96" i="10"/>
  <c r="J96" i="10"/>
  <c r="K92" i="10"/>
  <c r="I92" i="10"/>
  <c r="I88" i="10"/>
  <c r="I84" i="10"/>
  <c r="J90" i="10"/>
  <c r="J89" i="10"/>
  <c r="J84" i="10"/>
  <c r="J85" i="10"/>
  <c r="J86" i="10"/>
  <c r="M84" i="10"/>
  <c r="F84" i="10"/>
  <c r="V27" i="10"/>
  <c r="U27" i="10"/>
  <c r="X35" i="10"/>
  <c r="R39" i="10"/>
  <c r="X39" i="10" s="1"/>
  <c r="R35" i="10"/>
  <c r="U35" i="10" l="1"/>
  <c r="V26" i="10"/>
  <c r="U26" i="10"/>
  <c r="AH26" i="10"/>
  <c r="AG26" i="10"/>
  <c r="AA15" i="10" l="1"/>
  <c r="X61" i="10"/>
  <c r="X60" i="10"/>
  <c r="X59" i="10"/>
  <c r="X54" i="10"/>
  <c r="X53" i="10"/>
  <c r="X52" i="10"/>
  <c r="R61" i="10"/>
  <c r="R60" i="10"/>
  <c r="R59" i="10"/>
  <c r="L98" i="10"/>
  <c r="L97" i="10"/>
  <c r="F98" i="10"/>
  <c r="F85" i="10"/>
  <c r="E98" i="10" s="1"/>
  <c r="K98" i="10" l="1"/>
  <c r="T36" i="10"/>
  <c r="E97" i="10"/>
  <c r="K97" i="10"/>
  <c r="V79" i="3"/>
  <c r="V78" i="3"/>
  <c r="V77" i="3"/>
  <c r="V76" i="3"/>
  <c r="V75" i="3"/>
  <c r="V74" i="3"/>
  <c r="V73" i="3"/>
  <c r="V72" i="3"/>
  <c r="V71" i="3"/>
  <c r="V70" i="3"/>
  <c r="V69" i="3"/>
  <c r="V68" i="3"/>
  <c r="V67" i="3"/>
  <c r="V66" i="3"/>
  <c r="V65" i="3"/>
  <c r="V64" i="3"/>
  <c r="V63" i="3"/>
  <c r="V62" i="3"/>
  <c r="V61" i="3"/>
  <c r="V60" i="3"/>
  <c r="V59" i="3"/>
  <c r="V58" i="3"/>
  <c r="V57" i="3"/>
  <c r="V56" i="3"/>
  <c r="V55" i="3"/>
  <c r="V54" i="3"/>
  <c r="V53" i="3"/>
  <c r="V52" i="3"/>
  <c r="V51" i="3"/>
  <c r="V50" i="3"/>
  <c r="V49" i="3"/>
  <c r="V48" i="3"/>
  <c r="V47" i="3"/>
  <c r="V46" i="3"/>
  <c r="V45" i="3"/>
  <c r="V44" i="3"/>
  <c r="V43" i="3"/>
  <c r="V42" i="3"/>
  <c r="V41" i="3"/>
  <c r="V40" i="3"/>
  <c r="V39" i="3"/>
  <c r="V38" i="3"/>
  <c r="V37" i="3"/>
  <c r="V36" i="3"/>
  <c r="V35" i="3"/>
  <c r="V34" i="3"/>
  <c r="V33" i="3"/>
  <c r="V32" i="3"/>
  <c r="V31" i="3"/>
  <c r="V30" i="3"/>
  <c r="V29" i="3"/>
  <c r="V28" i="3"/>
  <c r="V27" i="3"/>
  <c r="V26" i="3"/>
  <c r="V25" i="3"/>
  <c r="V24" i="3"/>
  <c r="V23" i="3"/>
  <c r="V22" i="3"/>
  <c r="V21" i="3"/>
  <c r="V20" i="3"/>
  <c r="V19" i="3"/>
  <c r="V18" i="3"/>
  <c r="V17" i="3"/>
  <c r="V16" i="3"/>
  <c r="V15" i="3"/>
  <c r="V14" i="3"/>
  <c r="J52" i="3"/>
  <c r="J51" i="3"/>
  <c r="J50" i="3"/>
  <c r="J49" i="3"/>
  <c r="J48" i="3"/>
  <c r="J47" i="3"/>
  <c r="J46" i="3"/>
  <c r="J45" i="3"/>
  <c r="J44" i="3"/>
  <c r="J43" i="3"/>
  <c r="J42" i="3"/>
  <c r="J41" i="3"/>
  <c r="J40" i="3"/>
  <c r="J39" i="3"/>
  <c r="J38" i="3"/>
  <c r="J37" i="3"/>
  <c r="J36" i="3"/>
  <c r="J35" i="3"/>
  <c r="J34" i="3"/>
  <c r="J33" i="3"/>
  <c r="J32" i="3"/>
  <c r="J31" i="3"/>
  <c r="J30" i="3"/>
  <c r="J29" i="3"/>
  <c r="J28" i="3"/>
  <c r="J27" i="3"/>
  <c r="J26" i="3"/>
  <c r="J25" i="3"/>
  <c r="J24" i="3"/>
  <c r="J23" i="3"/>
  <c r="J22" i="3"/>
  <c r="J21" i="3"/>
  <c r="J20" i="3"/>
  <c r="J19" i="3"/>
  <c r="J18" i="3"/>
  <c r="J17" i="3"/>
  <c r="J16" i="3"/>
  <c r="J15" i="3"/>
  <c r="J14" i="3"/>
  <c r="H79" i="3"/>
  <c r="H78" i="3"/>
  <c r="H77" i="3"/>
  <c r="H76" i="3"/>
  <c r="H75" i="3"/>
  <c r="H74" i="3"/>
  <c r="H73" i="3"/>
  <c r="H72" i="3"/>
  <c r="H71" i="3"/>
  <c r="H70" i="3"/>
  <c r="H69" i="3"/>
  <c r="H68" i="3"/>
  <c r="H67" i="3"/>
  <c r="H66" i="3"/>
  <c r="H65" i="3"/>
  <c r="H64" i="3"/>
  <c r="H63" i="3"/>
  <c r="H62" i="3"/>
  <c r="H61" i="3"/>
  <c r="H60" i="3"/>
  <c r="H59" i="3"/>
  <c r="H58" i="3"/>
  <c r="H57" i="3"/>
  <c r="H56" i="3"/>
  <c r="H55" i="3"/>
  <c r="H54" i="3"/>
  <c r="H53" i="3"/>
  <c r="H52" i="3"/>
  <c r="H51" i="3"/>
  <c r="H50" i="3"/>
  <c r="H49" i="3"/>
  <c r="H48" i="3"/>
  <c r="H47" i="3"/>
  <c r="H46" i="3"/>
  <c r="H45" i="3"/>
  <c r="H44" i="3"/>
  <c r="H43" i="3"/>
  <c r="H42" i="3"/>
  <c r="H41" i="3"/>
  <c r="H40" i="3"/>
  <c r="H39" i="3"/>
  <c r="H38" i="3"/>
  <c r="H37" i="3"/>
  <c r="H36" i="3"/>
  <c r="H35" i="3"/>
  <c r="H34" i="3"/>
  <c r="H33" i="3"/>
  <c r="H32" i="3"/>
  <c r="H31" i="3"/>
  <c r="H30" i="3"/>
  <c r="H29" i="3"/>
  <c r="H28" i="3"/>
  <c r="H27" i="3"/>
  <c r="R52" i="3"/>
  <c r="R51" i="3"/>
  <c r="R50" i="3"/>
  <c r="R49" i="3"/>
  <c r="R48" i="3"/>
  <c r="R47" i="3"/>
  <c r="R46" i="3"/>
  <c r="R45" i="3"/>
  <c r="R44" i="3"/>
  <c r="R43" i="3"/>
  <c r="R42" i="3"/>
  <c r="R41" i="3"/>
  <c r="R40" i="3"/>
  <c r="R39" i="3"/>
  <c r="R38" i="3"/>
  <c r="R37" i="3"/>
  <c r="R36" i="3"/>
  <c r="R35" i="3"/>
  <c r="R34" i="3"/>
  <c r="R33" i="3"/>
  <c r="R32" i="3"/>
  <c r="R31" i="3"/>
  <c r="R30" i="3"/>
  <c r="R29" i="3"/>
  <c r="R28" i="3"/>
  <c r="R27" i="3"/>
  <c r="R26" i="3"/>
  <c r="R25" i="3"/>
  <c r="R24" i="3"/>
  <c r="R23" i="3"/>
  <c r="R22" i="3"/>
  <c r="R21" i="3"/>
  <c r="R20" i="3"/>
  <c r="R19" i="3"/>
  <c r="R18" i="3"/>
  <c r="R17" i="3"/>
  <c r="R16" i="3"/>
  <c r="R15" i="3"/>
  <c r="R14" i="3"/>
  <c r="R13" i="3"/>
  <c r="R12" i="3"/>
  <c r="R11" i="3"/>
  <c r="R10" i="3"/>
  <c r="R9" i="3"/>
  <c r="R8" i="3"/>
  <c r="R79" i="3"/>
  <c r="R78" i="3"/>
  <c r="R77" i="3"/>
  <c r="R76" i="3"/>
  <c r="R75" i="3"/>
  <c r="R74" i="3"/>
  <c r="R73" i="3"/>
  <c r="R72" i="3"/>
  <c r="R71" i="3"/>
  <c r="R70" i="3"/>
  <c r="R69" i="3"/>
  <c r="R68" i="3"/>
  <c r="R67" i="3"/>
  <c r="R66" i="3"/>
  <c r="R65" i="3"/>
  <c r="R64" i="3"/>
  <c r="R63" i="3"/>
  <c r="R62" i="3"/>
  <c r="R61" i="3"/>
  <c r="R60" i="3"/>
  <c r="R59" i="3"/>
  <c r="R58" i="3"/>
  <c r="R57" i="3"/>
  <c r="R56" i="3"/>
  <c r="R55" i="3"/>
  <c r="R54" i="3"/>
  <c r="R53" i="3"/>
  <c r="J79" i="3"/>
  <c r="J78" i="3"/>
  <c r="J77" i="3"/>
  <c r="J76" i="3"/>
  <c r="J75" i="3"/>
  <c r="J74" i="3"/>
  <c r="J73" i="3"/>
  <c r="J72" i="3"/>
  <c r="J71" i="3"/>
  <c r="J70" i="3"/>
  <c r="J69" i="3"/>
  <c r="J68" i="3"/>
  <c r="J67" i="3"/>
  <c r="J66" i="3"/>
  <c r="J65" i="3"/>
  <c r="J64" i="3"/>
  <c r="J63" i="3"/>
  <c r="J62" i="3"/>
  <c r="J61" i="3"/>
  <c r="J60" i="3"/>
  <c r="J59" i="3"/>
  <c r="J58" i="3"/>
  <c r="J57" i="3"/>
  <c r="J56" i="3"/>
  <c r="J55" i="3"/>
  <c r="J54" i="3"/>
  <c r="J53" i="3"/>
  <c r="V25" i="10" l="1"/>
  <c r="V24" i="10"/>
  <c r="AA16" i="10" l="1"/>
  <c r="V30" i="10" l="1"/>
  <c r="U30" i="10"/>
  <c r="AA39" i="10" l="1"/>
  <c r="AA35" i="10"/>
  <c r="U39" i="10"/>
  <c r="Z40" i="10"/>
  <c r="Z36" i="10"/>
  <c r="T40" i="10" l="1"/>
  <c r="L89" i="10" l="1"/>
  <c r="L85" i="10"/>
  <c r="F89" i="10"/>
  <c r="L88" i="10" l="1"/>
  <c r="L84" i="10"/>
  <c r="F88" i="10"/>
  <c r="E92" i="10" l="1"/>
  <c r="C79" i="10" l="1"/>
  <c r="A79" i="10"/>
  <c r="C78" i="10"/>
  <c r="A78" i="10"/>
  <c r="C77" i="10"/>
  <c r="A77" i="10"/>
  <c r="C76" i="10"/>
  <c r="A76" i="10"/>
  <c r="C75" i="10"/>
  <c r="A75" i="10"/>
  <c r="C74" i="10"/>
  <c r="A74" i="10"/>
  <c r="C73" i="10"/>
  <c r="A73" i="10"/>
  <c r="C72" i="10"/>
  <c r="A72" i="10"/>
  <c r="C71" i="10"/>
  <c r="A71" i="10"/>
  <c r="C70" i="10"/>
  <c r="A70" i="10"/>
  <c r="C69" i="10"/>
  <c r="A69" i="10"/>
  <c r="C68" i="10"/>
  <c r="A68" i="10"/>
  <c r="C67" i="10"/>
  <c r="A67" i="10"/>
  <c r="C66" i="10"/>
  <c r="A66" i="10"/>
  <c r="C65" i="10"/>
  <c r="A65" i="10"/>
  <c r="C64" i="10"/>
  <c r="A64" i="10"/>
  <c r="C63" i="10"/>
  <c r="A63" i="10"/>
  <c r="C62" i="10"/>
  <c r="A62" i="10"/>
  <c r="C61" i="10"/>
  <c r="A61" i="10"/>
  <c r="C60" i="10"/>
  <c r="A60" i="10"/>
  <c r="C59" i="10"/>
  <c r="A59" i="10"/>
  <c r="C58" i="10"/>
  <c r="A58" i="10"/>
  <c r="C57" i="10"/>
  <c r="A57" i="10"/>
  <c r="C56" i="10"/>
  <c r="A56" i="10"/>
  <c r="C55" i="10"/>
  <c r="A55" i="10"/>
  <c r="C54" i="10"/>
  <c r="A54" i="10"/>
  <c r="C53" i="10"/>
  <c r="A53" i="10"/>
  <c r="C52" i="10"/>
  <c r="A52" i="10"/>
  <c r="C51" i="10"/>
  <c r="A51" i="10"/>
  <c r="C50" i="10"/>
  <c r="A50" i="10"/>
  <c r="C49" i="10"/>
  <c r="A49" i="10"/>
  <c r="C48" i="10"/>
  <c r="A48" i="10"/>
  <c r="C47" i="10"/>
  <c r="A47" i="10"/>
  <c r="C46" i="10"/>
  <c r="A46" i="10"/>
  <c r="C45" i="10"/>
  <c r="A45" i="10"/>
  <c r="C44" i="10"/>
  <c r="A44" i="10"/>
  <c r="C43" i="10"/>
  <c r="A43" i="10"/>
  <c r="C42" i="10"/>
  <c r="A42" i="10"/>
  <c r="C41" i="10"/>
  <c r="A41" i="10"/>
  <c r="C40" i="10"/>
  <c r="A40" i="10"/>
  <c r="C39" i="10"/>
  <c r="A39" i="10"/>
  <c r="C38" i="10"/>
  <c r="A38" i="10"/>
  <c r="C37" i="10"/>
  <c r="A37" i="10"/>
  <c r="C36" i="10"/>
  <c r="A36" i="10"/>
  <c r="C35" i="10"/>
  <c r="A35" i="10"/>
  <c r="C34" i="10"/>
  <c r="A34" i="10"/>
  <c r="C33" i="10"/>
  <c r="A33" i="10"/>
  <c r="C32" i="10"/>
  <c r="A32" i="10"/>
  <c r="C31" i="10"/>
  <c r="A31" i="10"/>
  <c r="C30" i="10"/>
  <c r="A30" i="10"/>
  <c r="C29" i="10"/>
  <c r="A29" i="10"/>
  <c r="C28" i="10"/>
  <c r="A28" i="10"/>
  <c r="C27" i="10"/>
  <c r="A27" i="10"/>
  <c r="C26" i="10"/>
  <c r="A26" i="10"/>
  <c r="C25" i="10"/>
  <c r="A25" i="10"/>
  <c r="C24" i="10"/>
  <c r="A24" i="10"/>
  <c r="C23" i="10"/>
  <c r="A23" i="10"/>
  <c r="C22" i="10"/>
  <c r="A22" i="10"/>
  <c r="C21" i="10"/>
  <c r="A21" i="10"/>
  <c r="C20" i="10"/>
  <c r="A20" i="10"/>
  <c r="C19" i="10"/>
  <c r="A19" i="10"/>
  <c r="C18" i="10"/>
  <c r="A18" i="10"/>
  <c r="C17" i="10"/>
  <c r="A17" i="10"/>
  <c r="C16" i="10"/>
  <c r="A16" i="10"/>
  <c r="C15" i="10"/>
  <c r="A15" i="10"/>
  <c r="C14" i="10"/>
  <c r="A14" i="10"/>
  <c r="C13" i="10"/>
  <c r="A13" i="10"/>
  <c r="C12" i="10"/>
  <c r="A12" i="10"/>
  <c r="C11" i="10"/>
  <c r="A11" i="10"/>
  <c r="C10" i="10"/>
  <c r="A10" i="10"/>
  <c r="C9" i="10"/>
  <c r="A9" i="10"/>
  <c r="C8" i="10"/>
  <c r="A8" i="10"/>
  <c r="C7" i="10"/>
  <c r="A7" i="10"/>
  <c r="C6" i="10"/>
  <c r="A6" i="10"/>
  <c r="C5" i="10"/>
  <c r="A5" i="10"/>
  <c r="A4" i="10"/>
  <c r="C4" i="10"/>
  <c r="U83" i="3" l="1"/>
  <c r="U81" i="3"/>
  <c r="L79" i="10"/>
  <c r="W79" i="3"/>
  <c r="X79" i="3" s="1"/>
  <c r="L78" i="10"/>
  <c r="W78" i="3"/>
  <c r="X78" i="3" s="1"/>
  <c r="L77" i="10"/>
  <c r="W77" i="3"/>
  <c r="X77" i="3" s="1"/>
  <c r="L76" i="10"/>
  <c r="W76" i="3"/>
  <c r="X76" i="3"/>
  <c r="L75" i="10"/>
  <c r="W75" i="3"/>
  <c r="X75" i="3" s="1"/>
  <c r="L74" i="10"/>
  <c r="W74" i="3"/>
  <c r="X74" i="3" s="1"/>
  <c r="L73" i="10"/>
  <c r="W73" i="3"/>
  <c r="X73" i="3" s="1"/>
  <c r="L72" i="10"/>
  <c r="W72" i="3"/>
  <c r="X72" i="3" s="1"/>
  <c r="L71" i="10"/>
  <c r="W71" i="3"/>
  <c r="X71" i="3" s="1"/>
  <c r="L70" i="10"/>
  <c r="W70" i="3"/>
  <c r="X70" i="3" s="1"/>
  <c r="L69" i="10"/>
  <c r="W69" i="3"/>
  <c r="X69" i="3"/>
  <c r="L68" i="10"/>
  <c r="W68" i="3"/>
  <c r="X68" i="3" s="1"/>
  <c r="L67" i="10"/>
  <c r="W67" i="3"/>
  <c r="X67" i="3" s="1"/>
  <c r="L66" i="10"/>
  <c r="W66" i="3"/>
  <c r="X66" i="3" s="1"/>
  <c r="L65" i="10"/>
  <c r="W65" i="3"/>
  <c r="X65" i="3" s="1"/>
  <c r="L64" i="10"/>
  <c r="W64" i="3"/>
  <c r="X64" i="3" s="1"/>
  <c r="L63" i="10"/>
  <c r="W63" i="3"/>
  <c r="X63" i="3"/>
  <c r="L62" i="10"/>
  <c r="W62" i="3"/>
  <c r="X62" i="3" s="1"/>
  <c r="L61" i="10"/>
  <c r="W61" i="3"/>
  <c r="X61" i="3" s="1"/>
  <c r="L60" i="10"/>
  <c r="W60" i="3"/>
  <c r="X60" i="3" s="1"/>
  <c r="L59" i="10"/>
  <c r="W59" i="3"/>
  <c r="X59" i="3" s="1"/>
  <c r="L58" i="10"/>
  <c r="W58" i="3"/>
  <c r="X58" i="3" s="1"/>
  <c r="L57" i="10"/>
  <c r="W57" i="3"/>
  <c r="X57" i="3" s="1"/>
  <c r="L56" i="10"/>
  <c r="W56" i="3"/>
  <c r="X56" i="3" s="1"/>
  <c r="L55" i="10"/>
  <c r="W55" i="3"/>
  <c r="X55" i="3" s="1"/>
  <c r="L54" i="10"/>
  <c r="W54" i="3"/>
  <c r="X54" i="3" s="1"/>
  <c r="L53" i="10"/>
  <c r="W53" i="3"/>
  <c r="X53" i="3" s="1"/>
  <c r="L52" i="10"/>
  <c r="W52" i="3"/>
  <c r="X52" i="3" s="1"/>
  <c r="L51" i="10"/>
  <c r="W51" i="3"/>
  <c r="X51" i="3" s="1"/>
  <c r="L50" i="10"/>
  <c r="W50" i="3"/>
  <c r="X50" i="3" s="1"/>
  <c r="L49" i="10"/>
  <c r="W49" i="3"/>
  <c r="X49" i="3" s="1"/>
  <c r="L48" i="10"/>
  <c r="W48" i="3"/>
  <c r="X48" i="3" s="1"/>
  <c r="L47" i="10"/>
  <c r="W47" i="3"/>
  <c r="X47" i="3" s="1"/>
  <c r="L46" i="10"/>
  <c r="W46" i="3"/>
  <c r="X46" i="3"/>
  <c r="L45" i="10"/>
  <c r="W45" i="3"/>
  <c r="X45" i="3" s="1"/>
  <c r="L44" i="10"/>
  <c r="W44" i="3"/>
  <c r="X44" i="3" s="1"/>
  <c r="L43" i="10"/>
  <c r="W43" i="3"/>
  <c r="X43" i="3" s="1"/>
  <c r="L42" i="10"/>
  <c r="W42" i="3"/>
  <c r="X42" i="3" s="1"/>
  <c r="L41" i="10"/>
  <c r="W41" i="3"/>
  <c r="X41" i="3" s="1"/>
  <c r="L40" i="10"/>
  <c r="W40" i="3"/>
  <c r="X40" i="3"/>
  <c r="L39" i="10"/>
  <c r="W39" i="3"/>
  <c r="X39" i="3" s="1"/>
  <c r="L38" i="10"/>
  <c r="W38" i="3"/>
  <c r="X38" i="3" s="1"/>
  <c r="L37" i="10"/>
  <c r="W37" i="3"/>
  <c r="X37" i="3" s="1"/>
  <c r="L36" i="10"/>
  <c r="W36" i="3"/>
  <c r="X36" i="3" s="1"/>
  <c r="L35" i="10"/>
  <c r="W35" i="3"/>
  <c r="X35" i="3" s="1"/>
  <c r="L34" i="10"/>
  <c r="W34" i="3"/>
  <c r="X34" i="3"/>
  <c r="L33" i="10"/>
  <c r="W33" i="3"/>
  <c r="X33" i="3" s="1"/>
  <c r="L32" i="10"/>
  <c r="W32" i="3"/>
  <c r="X32" i="3" s="1"/>
  <c r="L31" i="10"/>
  <c r="W31" i="3"/>
  <c r="X31" i="3" s="1"/>
  <c r="L30" i="10"/>
  <c r="W30" i="3"/>
  <c r="X30" i="3" s="1"/>
  <c r="L29" i="10"/>
  <c r="W29" i="3"/>
  <c r="X29" i="3" s="1"/>
  <c r="L28" i="10"/>
  <c r="W28" i="3"/>
  <c r="X28" i="3" s="1"/>
  <c r="L27" i="10"/>
  <c r="W27" i="3"/>
  <c r="X27" i="3" s="1"/>
  <c r="L26" i="10"/>
  <c r="W26" i="3"/>
  <c r="X26" i="3"/>
  <c r="L25" i="10"/>
  <c r="W25" i="3"/>
  <c r="X25" i="3" s="1"/>
  <c r="L24" i="10"/>
  <c r="W24" i="3"/>
  <c r="X24" i="3" s="1"/>
  <c r="L23" i="10"/>
  <c r="W23" i="3"/>
  <c r="X23" i="3" s="1"/>
  <c r="L22" i="10"/>
  <c r="W22" i="3"/>
  <c r="X22" i="3" s="1"/>
  <c r="L21" i="10"/>
  <c r="W21" i="3"/>
  <c r="X21" i="3"/>
  <c r="L20" i="10"/>
  <c r="W20" i="3"/>
  <c r="X20" i="3" s="1"/>
  <c r="L19" i="10"/>
  <c r="W19" i="3"/>
  <c r="X19" i="3" s="1"/>
  <c r="L18" i="10"/>
  <c r="W18" i="3"/>
  <c r="X18" i="3" s="1"/>
  <c r="L17" i="10"/>
  <c r="W17" i="3"/>
  <c r="X17" i="3" s="1"/>
  <c r="W16" i="3"/>
  <c r="X16" i="3" s="1"/>
  <c r="L16" i="10"/>
  <c r="L15" i="10"/>
  <c r="W15" i="3"/>
  <c r="X15" i="3"/>
  <c r="L14" i="10"/>
  <c r="W14" i="3"/>
  <c r="X14" i="3" s="1"/>
  <c r="V13" i="3"/>
  <c r="L13" i="10" s="1"/>
  <c r="W13" i="3"/>
  <c r="X13" i="3" s="1"/>
  <c r="V12" i="3"/>
  <c r="L12" i="10" s="1"/>
  <c r="W12" i="3"/>
  <c r="X12" i="3" s="1"/>
  <c r="V11" i="3"/>
  <c r="L11" i="10" s="1"/>
  <c r="W11" i="3"/>
  <c r="X11" i="3" s="1"/>
  <c r="V10" i="3"/>
  <c r="L10" i="10" s="1"/>
  <c r="W10" i="3"/>
  <c r="X10" i="3"/>
  <c r="V9" i="3"/>
  <c r="L9" i="10" s="1"/>
  <c r="W9" i="3"/>
  <c r="X9" i="3" s="1"/>
  <c r="V8" i="3"/>
  <c r="L8" i="10" s="1"/>
  <c r="W8" i="3"/>
  <c r="X8" i="3" s="1"/>
  <c r="W7" i="3"/>
  <c r="X7" i="3" s="1"/>
  <c r="V7" i="3"/>
  <c r="L7" i="10" s="1"/>
  <c r="W6" i="3"/>
  <c r="X6" i="3" s="1"/>
  <c r="V6" i="3"/>
  <c r="L6" i="10" s="1"/>
  <c r="W5" i="3"/>
  <c r="X5" i="3" s="1"/>
  <c r="V5" i="3"/>
  <c r="L5" i="10" s="1"/>
  <c r="W4" i="3"/>
  <c r="X4" i="3" s="1"/>
  <c r="V4" i="3"/>
  <c r="K79" i="10"/>
  <c r="K78" i="10"/>
  <c r="K77" i="10"/>
  <c r="M77" i="10" s="1"/>
  <c r="N77" i="10" s="1"/>
  <c r="K76" i="10"/>
  <c r="K75" i="10"/>
  <c r="K74" i="10"/>
  <c r="M74" i="10" s="1"/>
  <c r="N74" i="10" s="1"/>
  <c r="K73" i="10"/>
  <c r="K72" i="10"/>
  <c r="K71" i="10"/>
  <c r="K70" i="10"/>
  <c r="M70" i="10" s="1"/>
  <c r="N70" i="10" s="1"/>
  <c r="K69" i="10"/>
  <c r="K68" i="10"/>
  <c r="K67" i="10"/>
  <c r="M67" i="10" s="1"/>
  <c r="N67" i="10" s="1"/>
  <c r="K66" i="10"/>
  <c r="K65" i="10"/>
  <c r="K64" i="10"/>
  <c r="K63" i="10"/>
  <c r="M63" i="10" s="1"/>
  <c r="N63" i="10" s="1"/>
  <c r="K62" i="10"/>
  <c r="K61" i="10"/>
  <c r="M61" i="10" s="1"/>
  <c r="N61" i="10" s="1"/>
  <c r="K60" i="10"/>
  <c r="M60" i="10" s="1"/>
  <c r="N60" i="10" s="1"/>
  <c r="K59" i="10"/>
  <c r="K58" i="10"/>
  <c r="K57" i="10"/>
  <c r="K56" i="10"/>
  <c r="K55" i="10"/>
  <c r="K54" i="10"/>
  <c r="K53" i="10"/>
  <c r="M53" i="10" s="1"/>
  <c r="N53" i="10" s="1"/>
  <c r="K52" i="10"/>
  <c r="M52" i="10" s="1"/>
  <c r="N52" i="10" s="1"/>
  <c r="K51" i="10"/>
  <c r="K50" i="10"/>
  <c r="K49" i="10"/>
  <c r="K48" i="10"/>
  <c r="K47" i="10"/>
  <c r="K46" i="10"/>
  <c r="K45" i="10"/>
  <c r="M45" i="10" s="1"/>
  <c r="N45" i="10" s="1"/>
  <c r="K44" i="10"/>
  <c r="M44" i="10" s="1"/>
  <c r="N44" i="10" s="1"/>
  <c r="K43" i="10"/>
  <c r="K42" i="10"/>
  <c r="K41" i="10"/>
  <c r="K40" i="10"/>
  <c r="K39" i="10"/>
  <c r="K38" i="10"/>
  <c r="M38" i="10" s="1"/>
  <c r="N38" i="10" s="1"/>
  <c r="K37" i="10"/>
  <c r="K36" i="10"/>
  <c r="K35" i="10"/>
  <c r="K34" i="10"/>
  <c r="M34" i="10" s="1"/>
  <c r="N34" i="10" s="1"/>
  <c r="K33" i="10"/>
  <c r="K32" i="10"/>
  <c r="K31" i="10"/>
  <c r="M31" i="10" s="1"/>
  <c r="N31" i="10" s="1"/>
  <c r="K30" i="10"/>
  <c r="K29" i="10"/>
  <c r="M29" i="10" s="1"/>
  <c r="N29" i="10" s="1"/>
  <c r="K28" i="10"/>
  <c r="K27" i="10"/>
  <c r="M27" i="10" s="1"/>
  <c r="N27" i="10" s="1"/>
  <c r="K26" i="10"/>
  <c r="K25" i="10"/>
  <c r="K24" i="10"/>
  <c r="K23" i="10"/>
  <c r="K22" i="10"/>
  <c r="K21" i="10"/>
  <c r="M21" i="10" s="1"/>
  <c r="N21" i="10" s="1"/>
  <c r="K20" i="10"/>
  <c r="M20" i="10" s="1"/>
  <c r="N20" i="10" s="1"/>
  <c r="K19" i="10"/>
  <c r="K18" i="10"/>
  <c r="M18" i="10" s="1"/>
  <c r="N18" i="10" s="1"/>
  <c r="K17" i="10"/>
  <c r="K16" i="10"/>
  <c r="K15" i="10"/>
  <c r="K14" i="10"/>
  <c r="M14" i="10" s="1"/>
  <c r="N14" i="10" s="1"/>
  <c r="J13" i="3"/>
  <c r="K13" i="10" s="1"/>
  <c r="J12" i="3"/>
  <c r="K12" i="10" s="1"/>
  <c r="J11" i="3"/>
  <c r="K11" i="10" s="1"/>
  <c r="J10" i="3"/>
  <c r="K10" i="10" s="1"/>
  <c r="M10" i="10" s="1"/>
  <c r="N10" i="10" s="1"/>
  <c r="J9" i="3"/>
  <c r="K9" i="10" s="1"/>
  <c r="J8" i="3"/>
  <c r="K8" i="10" s="1"/>
  <c r="J7" i="3"/>
  <c r="K7" i="10" s="1"/>
  <c r="J6" i="3"/>
  <c r="K6" i="10" s="1"/>
  <c r="J5" i="3"/>
  <c r="K5" i="10" s="1"/>
  <c r="M5" i="10" s="1"/>
  <c r="N5" i="10" s="1"/>
  <c r="J4" i="3"/>
  <c r="I83" i="3"/>
  <c r="I81" i="3"/>
  <c r="I84" i="3" s="1"/>
  <c r="M13" i="10" l="1"/>
  <c r="N13" i="10" s="1"/>
  <c r="M37" i="10"/>
  <c r="N37" i="10" s="1"/>
  <c r="M69" i="10"/>
  <c r="N69" i="10" s="1"/>
  <c r="M6" i="10"/>
  <c r="N6" i="10" s="1"/>
  <c r="M50" i="10"/>
  <c r="N50" i="10" s="1"/>
  <c r="M62" i="10"/>
  <c r="N62" i="10" s="1"/>
  <c r="M22" i="10"/>
  <c r="N22" i="10" s="1"/>
  <c r="M46" i="10"/>
  <c r="N46" i="10" s="1"/>
  <c r="M54" i="10"/>
  <c r="N54" i="10" s="1"/>
  <c r="M58" i="10"/>
  <c r="N58" i="10" s="1"/>
  <c r="M39" i="10"/>
  <c r="N39" i="10" s="1"/>
  <c r="M75" i="10"/>
  <c r="N75" i="10" s="1"/>
  <c r="V16" i="10"/>
  <c r="Y16" i="10"/>
  <c r="X16" i="10"/>
  <c r="M64" i="10"/>
  <c r="N64" i="10" s="1"/>
  <c r="M26" i="10"/>
  <c r="N26" i="10" s="1"/>
  <c r="M66" i="10"/>
  <c r="N66" i="10" s="1"/>
  <c r="M7" i="10"/>
  <c r="N7" i="10" s="1"/>
  <c r="M15" i="10"/>
  <c r="N15" i="10" s="1"/>
  <c r="M19" i="10"/>
  <c r="N19" i="10" s="1"/>
  <c r="M23" i="10"/>
  <c r="N23" i="10" s="1"/>
  <c r="M43" i="10"/>
  <c r="N43" i="10" s="1"/>
  <c r="M79" i="10"/>
  <c r="N79" i="10" s="1"/>
  <c r="M40" i="10"/>
  <c r="N40" i="10" s="1"/>
  <c r="M30" i="10"/>
  <c r="N30" i="10" s="1"/>
  <c r="M12" i="10"/>
  <c r="N12" i="10" s="1"/>
  <c r="M36" i="10"/>
  <c r="N36" i="10" s="1"/>
  <c r="M68" i="10"/>
  <c r="N68" i="10" s="1"/>
  <c r="M49" i="10"/>
  <c r="N49" i="10" s="1"/>
  <c r="M42" i="10"/>
  <c r="N42" i="10" s="1"/>
  <c r="M78" i="10"/>
  <c r="N78" i="10" s="1"/>
  <c r="M8" i="10"/>
  <c r="N8" i="10" s="1"/>
  <c r="M25" i="10"/>
  <c r="N25" i="10" s="1"/>
  <c r="M32" i="10"/>
  <c r="N32" i="10" s="1"/>
  <c r="M73" i="10"/>
  <c r="N73" i="10" s="1"/>
  <c r="M11" i="10"/>
  <c r="N11" i="10" s="1"/>
  <c r="M35" i="10"/>
  <c r="N35" i="10" s="1"/>
  <c r="M47" i="10"/>
  <c r="N47" i="10" s="1"/>
  <c r="M55" i="10"/>
  <c r="N55" i="10" s="1"/>
  <c r="M71" i="10"/>
  <c r="N71" i="10" s="1"/>
  <c r="M17" i="10"/>
  <c r="N17" i="10" s="1"/>
  <c r="M41" i="10"/>
  <c r="N41" i="10" s="1"/>
  <c r="M48" i="10"/>
  <c r="N48" i="10" s="1"/>
  <c r="M56" i="10"/>
  <c r="N56" i="10" s="1"/>
  <c r="M65" i="10"/>
  <c r="N65" i="10" s="1"/>
  <c r="M57" i="10"/>
  <c r="N57" i="10" s="1"/>
  <c r="M51" i="10"/>
  <c r="N51" i="10" s="1"/>
  <c r="M59" i="10"/>
  <c r="N59" i="10" s="1"/>
  <c r="K4" i="10"/>
  <c r="M28" i="10"/>
  <c r="N28" i="10" s="1"/>
  <c r="M76" i="10"/>
  <c r="N76" i="10" s="1"/>
  <c r="V81" i="3"/>
  <c r="L80" i="10" s="1"/>
  <c r="Y36" i="10" s="1"/>
  <c r="L4" i="10"/>
  <c r="M9" i="10"/>
  <c r="N9" i="10" s="1"/>
  <c r="M16" i="10"/>
  <c r="N16" i="10" s="1"/>
  <c r="M24" i="10"/>
  <c r="N24" i="10" s="1"/>
  <c r="M33" i="10"/>
  <c r="N33" i="10" s="1"/>
  <c r="M72" i="10"/>
  <c r="N72" i="10" s="1"/>
  <c r="X81" i="3"/>
  <c r="W81" i="3"/>
  <c r="J81" i="3"/>
  <c r="K80" i="10" s="1"/>
  <c r="Y47" i="10" s="1"/>
  <c r="Z16" i="10" l="1"/>
  <c r="U17" i="10" s="1"/>
  <c r="Z52" i="10"/>
  <c r="Y48" i="10"/>
  <c r="M80" i="10"/>
  <c r="J97" i="10"/>
  <c r="M97" i="10" s="1"/>
  <c r="J98" i="10"/>
  <c r="M4" i="10"/>
  <c r="N4" i="10" s="1"/>
  <c r="Y40" i="10"/>
  <c r="M98" i="10" l="1"/>
  <c r="M68" i="11" s="1"/>
  <c r="J68" i="11"/>
  <c r="AB16" i="10"/>
  <c r="Y35" i="10" s="1"/>
  <c r="W16" i="10"/>
  <c r="Z35" i="10" s="1"/>
  <c r="Z39" i="10" s="1"/>
  <c r="Z59" i="10"/>
  <c r="N80" i="10"/>
  <c r="O79" i="3"/>
  <c r="O78" i="3"/>
  <c r="O77" i="3"/>
  <c r="O76" i="3"/>
  <c r="O75" i="3"/>
  <c r="O74" i="3"/>
  <c r="O73" i="3"/>
  <c r="O72" i="3"/>
  <c r="O71" i="3"/>
  <c r="O70" i="3"/>
  <c r="O69" i="3"/>
  <c r="O68" i="3"/>
  <c r="O67" i="3"/>
  <c r="O66" i="3"/>
  <c r="O65" i="3"/>
  <c r="O64" i="3"/>
  <c r="O63" i="3"/>
  <c r="O62" i="3"/>
  <c r="O61" i="3"/>
  <c r="O60" i="3"/>
  <c r="O59" i="3"/>
  <c r="O58" i="3"/>
  <c r="O57" i="3"/>
  <c r="O56" i="3"/>
  <c r="O55" i="3"/>
  <c r="O54" i="3"/>
  <c r="O53" i="3"/>
  <c r="O52" i="3"/>
  <c r="O51" i="3"/>
  <c r="O50" i="3"/>
  <c r="O49" i="3"/>
  <c r="O48" i="3"/>
  <c r="O47" i="3"/>
  <c r="O46" i="3"/>
  <c r="O45" i="3"/>
  <c r="O44" i="3"/>
  <c r="O43" i="3"/>
  <c r="O42" i="3"/>
  <c r="O41" i="3"/>
  <c r="O40" i="3"/>
  <c r="O39" i="3"/>
  <c r="O38" i="3"/>
  <c r="O37" i="3"/>
  <c r="O36" i="3"/>
  <c r="O35" i="3"/>
  <c r="O34" i="3"/>
  <c r="O33" i="3"/>
  <c r="O32" i="3"/>
  <c r="O31" i="3"/>
  <c r="O30" i="3"/>
  <c r="O29" i="3"/>
  <c r="O28" i="3"/>
  <c r="O27" i="3"/>
  <c r="O26" i="3"/>
  <c r="O25" i="3"/>
  <c r="O24" i="3"/>
  <c r="O23" i="3"/>
  <c r="O22" i="3"/>
  <c r="O21" i="3"/>
  <c r="O20" i="3"/>
  <c r="O19" i="3"/>
  <c r="O18" i="3"/>
  <c r="O17" i="3"/>
  <c r="O16" i="3"/>
  <c r="O15" i="3"/>
  <c r="O14" i="3"/>
  <c r="O13" i="3"/>
  <c r="O12" i="3"/>
  <c r="O11" i="3"/>
  <c r="O10" i="3"/>
  <c r="O9" i="3"/>
  <c r="O8" i="3"/>
  <c r="O7" i="3"/>
  <c r="O6" i="3"/>
  <c r="O5" i="3"/>
  <c r="O4" i="3"/>
  <c r="Y39" i="10" l="1"/>
  <c r="AB35" i="10"/>
  <c r="AB39" i="10" s="1"/>
  <c r="L90" i="10" s="1"/>
  <c r="O81" i="3"/>
  <c r="D79" i="3"/>
  <c r="D78" i="3"/>
  <c r="D77" i="3"/>
  <c r="D76" i="3"/>
  <c r="D75" i="3"/>
  <c r="D74" i="3"/>
  <c r="D73" i="3"/>
  <c r="D72" i="3"/>
  <c r="D71" i="3"/>
  <c r="D70" i="3"/>
  <c r="D69" i="3"/>
  <c r="D68" i="3"/>
  <c r="D67" i="3"/>
  <c r="D66" i="3"/>
  <c r="D64" i="3"/>
  <c r="D63" i="3"/>
  <c r="D65" i="3"/>
  <c r="D60" i="3"/>
  <c r="D62" i="3"/>
  <c r="D61" i="3"/>
  <c r="D59" i="3"/>
  <c r="D58" i="3"/>
  <c r="D57" i="3"/>
  <c r="D56" i="3"/>
  <c r="D55" i="3"/>
  <c r="D54" i="3"/>
  <c r="D49" i="3"/>
  <c r="D53" i="3"/>
  <c r="D52" i="3"/>
  <c r="D51" i="3"/>
  <c r="D50" i="3"/>
  <c r="D48" i="3"/>
  <c r="D47" i="3"/>
  <c r="D46" i="3"/>
  <c r="D45" i="3"/>
  <c r="D44" i="3"/>
  <c r="D43" i="3"/>
  <c r="D32" i="3"/>
  <c r="D41" i="3"/>
  <c r="D40" i="3"/>
  <c r="D39" i="3"/>
  <c r="D38" i="3"/>
  <c r="D37" i="3"/>
  <c r="D36" i="3"/>
  <c r="D35" i="3"/>
  <c r="D34" i="3"/>
  <c r="D42" i="3"/>
  <c r="D33" i="3"/>
  <c r="D31" i="3"/>
  <c r="D30" i="3"/>
  <c r="D29" i="3"/>
  <c r="D28" i="3"/>
  <c r="D27" i="3"/>
  <c r="D26" i="3"/>
  <c r="D25" i="3"/>
  <c r="D24" i="3"/>
  <c r="D23" i="3"/>
  <c r="D22" i="3"/>
  <c r="D21" i="3"/>
  <c r="D20" i="3"/>
  <c r="D19" i="3"/>
  <c r="D18" i="3"/>
  <c r="D17" i="3"/>
  <c r="D16" i="3"/>
  <c r="D15" i="3"/>
  <c r="D14" i="3"/>
  <c r="D13" i="3"/>
  <c r="D12" i="3"/>
  <c r="D11" i="3"/>
  <c r="D10" i="3"/>
  <c r="D9" i="3"/>
  <c r="D8" i="3"/>
  <c r="D7" i="3"/>
  <c r="D6" i="3"/>
  <c r="D5" i="3"/>
  <c r="H5" i="3" s="1"/>
  <c r="E5" i="10" s="1"/>
  <c r="N90" i="10" l="1"/>
  <c r="N98" i="10"/>
  <c r="L86" i="10"/>
  <c r="X47" i="10"/>
  <c r="X48" i="10" s="1"/>
  <c r="AB48" i="10" s="1"/>
  <c r="E83" i="3"/>
  <c r="D83" i="3"/>
  <c r="B51" i="3"/>
  <c r="B74" i="3"/>
  <c r="B16" i="3"/>
  <c r="B64" i="3"/>
  <c r="B59" i="3"/>
  <c r="B76" i="3"/>
  <c r="B9" i="3"/>
  <c r="B10" i="3"/>
  <c r="B53" i="3"/>
  <c r="B15" i="3"/>
  <c r="B37" i="3"/>
  <c r="B18" i="3"/>
  <c r="B42" i="3"/>
  <c r="B36" i="3"/>
  <c r="C32" i="3"/>
  <c r="B69" i="3"/>
  <c r="B57" i="3"/>
  <c r="Y54" i="10" l="1"/>
  <c r="Z47" i="10"/>
  <c r="Y52" i="10"/>
  <c r="M86" i="10"/>
  <c r="N86" i="10" s="1"/>
  <c r="N97" i="10"/>
  <c r="Y53" i="10"/>
  <c r="AB47" i="10"/>
  <c r="Y55" i="10"/>
  <c r="AA52" i="10" s="1"/>
  <c r="AA54" i="10" s="1"/>
  <c r="Y60" i="10"/>
  <c r="Y59" i="10"/>
  <c r="Y61" i="10"/>
  <c r="Z48" i="10"/>
  <c r="N32" i="3"/>
  <c r="Q32" i="3" s="1"/>
  <c r="B32" i="10"/>
  <c r="C69" i="3"/>
  <c r="E69" i="10"/>
  <c r="H18" i="3"/>
  <c r="E18" i="10" s="1"/>
  <c r="H10" i="3"/>
  <c r="E10" i="10" s="1"/>
  <c r="E64" i="10"/>
  <c r="C37" i="3"/>
  <c r="E37" i="10"/>
  <c r="C9" i="3"/>
  <c r="H9" i="3"/>
  <c r="E9" i="10" s="1"/>
  <c r="C16" i="3"/>
  <c r="C36" i="3"/>
  <c r="C15" i="3"/>
  <c r="H15" i="3"/>
  <c r="E15" i="10" s="1"/>
  <c r="E74" i="10"/>
  <c r="E57" i="10"/>
  <c r="E42" i="10"/>
  <c r="E53" i="10"/>
  <c r="E59" i="10"/>
  <c r="C51" i="3"/>
  <c r="F32" i="10"/>
  <c r="M32" i="3"/>
  <c r="C18" i="3"/>
  <c r="C10" i="3"/>
  <c r="C64" i="3"/>
  <c r="C59" i="3"/>
  <c r="C74" i="3"/>
  <c r="E76" i="10"/>
  <c r="C42" i="3"/>
  <c r="C53" i="3"/>
  <c r="C76" i="3"/>
  <c r="B83" i="3"/>
  <c r="C57" i="3"/>
  <c r="E77" i="10"/>
  <c r="E72" i="10"/>
  <c r="E67" i="10"/>
  <c r="E66" i="10"/>
  <c r="E61" i="10"/>
  <c r="E60" i="10"/>
  <c r="E58" i="10"/>
  <c r="E54" i="10"/>
  <c r="E55" i="10"/>
  <c r="E49" i="10"/>
  <c r="E50" i="10"/>
  <c r="E47" i="10"/>
  <c r="E44" i="10"/>
  <c r="E34" i="10"/>
  <c r="E29" i="10"/>
  <c r="E30" i="10"/>
  <c r="H26" i="3"/>
  <c r="E26" i="10" s="1"/>
  <c r="H14" i="3"/>
  <c r="E14" i="10" s="1"/>
  <c r="H8" i="3"/>
  <c r="E8" i="10" s="1"/>
  <c r="H12" i="3"/>
  <c r="E12" i="10" s="1"/>
  <c r="H7" i="3"/>
  <c r="E7" i="10" s="1"/>
  <c r="C79" i="3"/>
  <c r="C78" i="3"/>
  <c r="C77" i="3"/>
  <c r="C75" i="3"/>
  <c r="C73" i="3"/>
  <c r="C72" i="3"/>
  <c r="C71" i="3"/>
  <c r="C70" i="3"/>
  <c r="C68" i="3"/>
  <c r="C67" i="3"/>
  <c r="C66" i="3"/>
  <c r="C63" i="3"/>
  <c r="C65" i="3"/>
  <c r="C61" i="3"/>
  <c r="C60" i="3"/>
  <c r="C62" i="3"/>
  <c r="C58" i="3"/>
  <c r="C56" i="3"/>
  <c r="C55" i="3"/>
  <c r="C54" i="3"/>
  <c r="C52" i="3"/>
  <c r="C50" i="3"/>
  <c r="C49" i="3"/>
  <c r="C47" i="3"/>
  <c r="C48" i="3"/>
  <c r="C46" i="3"/>
  <c r="C45" i="3"/>
  <c r="C44" i="3"/>
  <c r="C43" i="3"/>
  <c r="C41" i="3"/>
  <c r="C40" i="3"/>
  <c r="C39" i="3"/>
  <c r="C35" i="3"/>
  <c r="C38" i="3"/>
  <c r="C34" i="3"/>
  <c r="C33" i="3"/>
  <c r="C31" i="3"/>
  <c r="C28" i="3"/>
  <c r="C29" i="3"/>
  <c r="C30" i="3"/>
  <c r="C27" i="3"/>
  <c r="C26" i="3"/>
  <c r="C25" i="3"/>
  <c r="C24" i="3"/>
  <c r="C23" i="3"/>
  <c r="C22" i="3"/>
  <c r="C21" i="3"/>
  <c r="C20" i="3"/>
  <c r="C19" i="3"/>
  <c r="C17" i="3"/>
  <c r="C14" i="3"/>
  <c r="C11" i="3"/>
  <c r="C13" i="3"/>
  <c r="C12" i="3"/>
  <c r="C8" i="3"/>
  <c r="C7" i="3"/>
  <c r="C6" i="3"/>
  <c r="C5" i="3"/>
  <c r="C4" i="3"/>
  <c r="Y62" i="10" l="1"/>
  <c r="AA59" i="10" s="1"/>
  <c r="AA61" i="10" s="1"/>
  <c r="N7" i="3"/>
  <c r="Q7" i="3" s="1"/>
  <c r="B7" i="10"/>
  <c r="N20" i="3"/>
  <c r="Q20" i="3" s="1"/>
  <c r="B20" i="10"/>
  <c r="N24" i="3"/>
  <c r="Q24" i="3" s="1"/>
  <c r="B24" i="10"/>
  <c r="N33" i="3"/>
  <c r="Q33" i="3" s="1"/>
  <c r="B33" i="10"/>
  <c r="N44" i="3"/>
  <c r="Q44" i="3" s="1"/>
  <c r="B44" i="10"/>
  <c r="N5" i="3"/>
  <c r="Q5" i="3" s="1"/>
  <c r="B5" i="10"/>
  <c r="N12" i="3"/>
  <c r="Q12" i="3" s="1"/>
  <c r="B12" i="10"/>
  <c r="N17" i="3"/>
  <c r="Q17" i="3" s="1"/>
  <c r="B17" i="10"/>
  <c r="N22" i="3"/>
  <c r="Q22" i="3" s="1"/>
  <c r="B22" i="10"/>
  <c r="N26" i="3"/>
  <c r="Q26" i="3" s="1"/>
  <c r="B26" i="10"/>
  <c r="N28" i="3"/>
  <c r="Q28" i="3" s="1"/>
  <c r="B28" i="10"/>
  <c r="N38" i="3"/>
  <c r="Q38" i="3" s="1"/>
  <c r="B38" i="10"/>
  <c r="N41" i="3"/>
  <c r="Q41" i="3" s="1"/>
  <c r="B41" i="10"/>
  <c r="N46" i="3"/>
  <c r="Q46" i="3" s="1"/>
  <c r="B46" i="10"/>
  <c r="N50" i="3"/>
  <c r="Q50" i="3" s="1"/>
  <c r="B50" i="10"/>
  <c r="N56" i="3"/>
  <c r="Q56" i="3" s="1"/>
  <c r="B56" i="10"/>
  <c r="N61" i="3"/>
  <c r="Q61" i="3" s="1"/>
  <c r="B61" i="10"/>
  <c r="N67" i="3"/>
  <c r="Q67" i="3" s="1"/>
  <c r="B67" i="10"/>
  <c r="N72" i="3"/>
  <c r="Q72" i="3" s="1"/>
  <c r="B72" i="10"/>
  <c r="N78" i="3"/>
  <c r="Q78" i="3" s="1"/>
  <c r="B78" i="10"/>
  <c r="N10" i="3"/>
  <c r="Q10" i="3" s="1"/>
  <c r="B10" i="10"/>
  <c r="N15" i="3"/>
  <c r="Q15" i="3" s="1"/>
  <c r="B15" i="10"/>
  <c r="N16" i="3"/>
  <c r="Q16" i="3" s="1"/>
  <c r="B16" i="10"/>
  <c r="N37" i="3"/>
  <c r="M37" i="3" s="1"/>
  <c r="B37" i="10"/>
  <c r="N6" i="3"/>
  <c r="Q6" i="3" s="1"/>
  <c r="B6" i="10"/>
  <c r="N13" i="3"/>
  <c r="Q13" i="3" s="1"/>
  <c r="B13" i="10"/>
  <c r="N19" i="3"/>
  <c r="Q19" i="3" s="1"/>
  <c r="B19" i="10"/>
  <c r="N23" i="3"/>
  <c r="Q23" i="3" s="1"/>
  <c r="B23" i="10"/>
  <c r="N27" i="3"/>
  <c r="Q27" i="3" s="1"/>
  <c r="B27" i="10"/>
  <c r="N31" i="3"/>
  <c r="Q31" i="3" s="1"/>
  <c r="B31" i="10"/>
  <c r="N35" i="3"/>
  <c r="Q35" i="3" s="1"/>
  <c r="B35" i="10"/>
  <c r="N43" i="3"/>
  <c r="Q43" i="3" s="1"/>
  <c r="B43" i="10"/>
  <c r="N48" i="3"/>
  <c r="Q48" i="3" s="1"/>
  <c r="B48" i="10"/>
  <c r="N52" i="3"/>
  <c r="Q52" i="3" s="1"/>
  <c r="B52" i="10"/>
  <c r="N58" i="3"/>
  <c r="Q58" i="3" s="1"/>
  <c r="B58" i="10"/>
  <c r="N65" i="3"/>
  <c r="Q65" i="3" s="1"/>
  <c r="B65" i="10"/>
  <c r="N68" i="3"/>
  <c r="Q68" i="3" s="1"/>
  <c r="B68" i="10"/>
  <c r="N73" i="3"/>
  <c r="Q73" i="3" s="1"/>
  <c r="B73" i="10"/>
  <c r="N79" i="3"/>
  <c r="Q79" i="3" s="1"/>
  <c r="B79" i="10"/>
  <c r="N76" i="3"/>
  <c r="Q76" i="3" s="1"/>
  <c r="B76" i="10"/>
  <c r="N74" i="3"/>
  <c r="Q74" i="3" s="1"/>
  <c r="B74" i="10"/>
  <c r="N18" i="3"/>
  <c r="Q18" i="3" s="1"/>
  <c r="B18" i="10"/>
  <c r="N51" i="3"/>
  <c r="B51" i="10"/>
  <c r="N69" i="3"/>
  <c r="M69" i="3" s="1"/>
  <c r="B69" i="10"/>
  <c r="N11" i="3"/>
  <c r="Q11" i="3" s="1"/>
  <c r="B11" i="10"/>
  <c r="N30" i="3"/>
  <c r="Q30" i="3" s="1"/>
  <c r="B30" i="10"/>
  <c r="N39" i="3"/>
  <c r="Q39" i="3" s="1"/>
  <c r="B39" i="10"/>
  <c r="N47" i="3"/>
  <c r="Q47" i="3" s="1"/>
  <c r="B47" i="10"/>
  <c r="N54" i="3"/>
  <c r="Q54" i="3" s="1"/>
  <c r="B54" i="10"/>
  <c r="N62" i="3"/>
  <c r="Q62" i="3" s="1"/>
  <c r="B62" i="10"/>
  <c r="N63" i="3"/>
  <c r="Q63" i="3" s="1"/>
  <c r="B63" i="10"/>
  <c r="N70" i="3"/>
  <c r="Q70" i="3" s="1"/>
  <c r="B70" i="10"/>
  <c r="N75" i="3"/>
  <c r="Q75" i="3" s="1"/>
  <c r="B75" i="10"/>
  <c r="N53" i="3"/>
  <c r="Q53" i="3" s="1"/>
  <c r="B53" i="10"/>
  <c r="N59" i="3"/>
  <c r="Q59" i="3" s="1"/>
  <c r="B59" i="10"/>
  <c r="N36" i="3"/>
  <c r="Q36" i="3" s="1"/>
  <c r="F36" i="10" s="1"/>
  <c r="B36" i="10"/>
  <c r="N9" i="3"/>
  <c r="Q9" i="3" s="1"/>
  <c r="F9" i="10" s="1"/>
  <c r="G9" i="10" s="1"/>
  <c r="H9" i="10" s="1"/>
  <c r="B9" i="10"/>
  <c r="N4" i="3"/>
  <c r="M4" i="3" s="1"/>
  <c r="B4" i="10"/>
  <c r="N8" i="3"/>
  <c r="Q8" i="3" s="1"/>
  <c r="B8" i="10"/>
  <c r="N14" i="3"/>
  <c r="Q14" i="3" s="1"/>
  <c r="B14" i="10"/>
  <c r="N21" i="3"/>
  <c r="Q21" i="3" s="1"/>
  <c r="B21" i="10"/>
  <c r="N25" i="3"/>
  <c r="Q25" i="3" s="1"/>
  <c r="B25" i="10"/>
  <c r="N29" i="3"/>
  <c r="Q29" i="3" s="1"/>
  <c r="B29" i="10"/>
  <c r="N34" i="3"/>
  <c r="Q34" i="3" s="1"/>
  <c r="B34" i="10"/>
  <c r="N40" i="3"/>
  <c r="Q40" i="3" s="1"/>
  <c r="B40" i="10"/>
  <c r="N45" i="3"/>
  <c r="Q45" i="3" s="1"/>
  <c r="B45" i="10"/>
  <c r="N49" i="3"/>
  <c r="Q49" i="3" s="1"/>
  <c r="B49" i="10"/>
  <c r="N55" i="3"/>
  <c r="Q55" i="3" s="1"/>
  <c r="B55" i="10"/>
  <c r="N60" i="3"/>
  <c r="Q60" i="3" s="1"/>
  <c r="B60" i="10"/>
  <c r="N66" i="3"/>
  <c r="Q66" i="3" s="1"/>
  <c r="B66" i="10"/>
  <c r="N71" i="3"/>
  <c r="Q71" i="3" s="1"/>
  <c r="B71" i="10"/>
  <c r="N77" i="3"/>
  <c r="Q77" i="3" s="1"/>
  <c r="B77" i="10"/>
  <c r="N57" i="3"/>
  <c r="Q57" i="3" s="1"/>
  <c r="B57" i="10"/>
  <c r="N42" i="3"/>
  <c r="Q42" i="3" s="1"/>
  <c r="B42" i="10"/>
  <c r="N64" i="3"/>
  <c r="Q64" i="3" s="1"/>
  <c r="B64" i="10"/>
  <c r="M15" i="3"/>
  <c r="Q4" i="3"/>
  <c r="R4" i="3" s="1"/>
  <c r="F4" i="10" s="1"/>
  <c r="M36" i="3"/>
  <c r="M16" i="3"/>
  <c r="M51" i="3"/>
  <c r="Q51" i="3"/>
  <c r="F51" i="10" s="1"/>
  <c r="G81" i="3"/>
  <c r="Q69" i="3"/>
  <c r="F69" i="10" s="1"/>
  <c r="G69" i="10" s="1"/>
  <c r="H69" i="10" s="1"/>
  <c r="S51" i="3"/>
  <c r="T51" i="3" s="1"/>
  <c r="S16" i="3"/>
  <c r="T16" i="3" s="1"/>
  <c r="F16" i="10"/>
  <c r="M12" i="3"/>
  <c r="M28" i="3"/>
  <c r="M49" i="3"/>
  <c r="M66" i="3"/>
  <c r="E40" i="10"/>
  <c r="M53" i="3"/>
  <c r="M59" i="3"/>
  <c r="M10" i="3"/>
  <c r="M22" i="3"/>
  <c r="M40" i="3"/>
  <c r="M55" i="3"/>
  <c r="M71" i="3"/>
  <c r="M31" i="3"/>
  <c r="M46" i="3"/>
  <c r="M67" i="3"/>
  <c r="M18" i="3"/>
  <c r="M5" i="3"/>
  <c r="M26" i="3"/>
  <c r="M60" i="3"/>
  <c r="M77" i="3"/>
  <c r="M6" i="3"/>
  <c r="M23" i="3"/>
  <c r="M41" i="3"/>
  <c r="M56" i="3"/>
  <c r="M72" i="3"/>
  <c r="H4" i="3"/>
  <c r="E4" i="10" s="1"/>
  <c r="G84" i="3"/>
  <c r="M64" i="3"/>
  <c r="M11" i="3"/>
  <c r="F24" i="10"/>
  <c r="M24" i="3"/>
  <c r="M35" i="3"/>
  <c r="M58" i="3"/>
  <c r="M68" i="3"/>
  <c r="M79" i="3"/>
  <c r="H24" i="3"/>
  <c r="E24" i="10" s="1"/>
  <c r="E33" i="10"/>
  <c r="M57" i="3"/>
  <c r="M17" i="3"/>
  <c r="M27" i="3"/>
  <c r="M38" i="3"/>
  <c r="M50" i="3"/>
  <c r="M61" i="3"/>
  <c r="M78" i="3"/>
  <c r="M42" i="3"/>
  <c r="M7" i="3"/>
  <c r="M20" i="3"/>
  <c r="M30" i="3"/>
  <c r="M33" i="3"/>
  <c r="M52" i="3"/>
  <c r="M65" i="3"/>
  <c r="M73" i="3"/>
  <c r="M8" i="3"/>
  <c r="M14" i="3"/>
  <c r="M25" i="3"/>
  <c r="M29" i="3"/>
  <c r="M34" i="3"/>
  <c r="M39" i="3"/>
  <c r="M44" i="3"/>
  <c r="M47" i="3"/>
  <c r="M54" i="3"/>
  <c r="M63" i="3"/>
  <c r="M70" i="3"/>
  <c r="M75" i="3"/>
  <c r="E36" i="10"/>
  <c r="S36" i="3"/>
  <c r="T36" i="3" s="1"/>
  <c r="S32" i="3"/>
  <c r="T32" i="3" s="1"/>
  <c r="H21" i="3"/>
  <c r="E21" i="10" s="1"/>
  <c r="E78" i="10"/>
  <c r="E51" i="10"/>
  <c r="C83" i="3"/>
  <c r="E84" i="3" s="1"/>
  <c r="E32" i="10"/>
  <c r="G32" i="10" s="1"/>
  <c r="H32" i="10" s="1"/>
  <c r="H16" i="3"/>
  <c r="E16" i="10" s="1"/>
  <c r="E46" i="10"/>
  <c r="G83" i="3"/>
  <c r="E28" i="10"/>
  <c r="E65" i="10"/>
  <c r="H17" i="3"/>
  <c r="E17" i="10" s="1"/>
  <c r="H25" i="3"/>
  <c r="E25" i="10" s="1"/>
  <c r="E38" i="10"/>
  <c r="E45" i="10"/>
  <c r="E56" i="10"/>
  <c r="E68" i="10"/>
  <c r="H22" i="3"/>
  <c r="E22" i="10" s="1"/>
  <c r="E41" i="10"/>
  <c r="E73" i="10"/>
  <c r="H20" i="3"/>
  <c r="E20" i="10" s="1"/>
  <c r="E39" i="10"/>
  <c r="E71" i="10"/>
  <c r="H6" i="3"/>
  <c r="E6" i="10" s="1"/>
  <c r="H13" i="3"/>
  <c r="E13" i="10" s="1"/>
  <c r="H19" i="3"/>
  <c r="E19" i="10" s="1"/>
  <c r="H23" i="3"/>
  <c r="E23" i="10" s="1"/>
  <c r="E27" i="10"/>
  <c r="E31" i="10"/>
  <c r="E35" i="10"/>
  <c r="E43" i="10"/>
  <c r="E48" i="10"/>
  <c r="E52" i="10"/>
  <c r="E62" i="10"/>
  <c r="E63" i="10"/>
  <c r="E70" i="10"/>
  <c r="E75" i="10"/>
  <c r="H11" i="3"/>
  <c r="E11" i="10" s="1"/>
  <c r="E79" i="10"/>
  <c r="G51" i="10" l="1"/>
  <c r="H51" i="10" s="1"/>
  <c r="F15" i="10"/>
  <c r="G15" i="10" s="1"/>
  <c r="H15" i="10" s="1"/>
  <c r="S15" i="3"/>
  <c r="T15" i="3" s="1"/>
  <c r="M9" i="3"/>
  <c r="M81" i="3" s="1"/>
  <c r="G16" i="10"/>
  <c r="H16" i="10" s="1"/>
  <c r="Q37" i="3"/>
  <c r="M74" i="3"/>
  <c r="M62" i="3"/>
  <c r="M21" i="3"/>
  <c r="M43" i="3"/>
  <c r="S9" i="3"/>
  <c r="T9" i="3" s="1"/>
  <c r="G24" i="10"/>
  <c r="H24" i="10" s="1"/>
  <c r="M48" i="3"/>
  <c r="M13" i="3"/>
  <c r="M45" i="3"/>
  <c r="M76" i="3"/>
  <c r="M19" i="3"/>
  <c r="G36" i="10"/>
  <c r="H36" i="10" s="1"/>
  <c r="N81" i="3"/>
  <c r="G4" i="10"/>
  <c r="H4" i="10" s="1"/>
  <c r="S69" i="3"/>
  <c r="T69" i="3" s="1"/>
  <c r="H81" i="3"/>
  <c r="E80" i="10" s="1"/>
  <c r="S47" i="10" s="1"/>
  <c r="S63" i="3"/>
  <c r="T63" i="3" s="1"/>
  <c r="F63" i="10"/>
  <c r="G63" i="10" s="1"/>
  <c r="H63" i="10" s="1"/>
  <c r="S54" i="3"/>
  <c r="T54" i="3" s="1"/>
  <c r="F54" i="10"/>
  <c r="G54" i="10" s="1"/>
  <c r="H54" i="10" s="1"/>
  <c r="S34" i="3"/>
  <c r="T34" i="3" s="1"/>
  <c r="F34" i="10"/>
  <c r="G34" i="10" s="1"/>
  <c r="H34" i="10" s="1"/>
  <c r="S25" i="3"/>
  <c r="T25" i="3" s="1"/>
  <c r="F25" i="10"/>
  <c r="G25" i="10" s="1"/>
  <c r="H25" i="10" s="1"/>
  <c r="S30" i="3"/>
  <c r="T30" i="3" s="1"/>
  <c r="F30" i="10"/>
  <c r="G30" i="10" s="1"/>
  <c r="H30" i="10" s="1"/>
  <c r="S50" i="3"/>
  <c r="T50" i="3" s="1"/>
  <c r="F50" i="10"/>
  <c r="G50" i="10" s="1"/>
  <c r="H50" i="10" s="1"/>
  <c r="S27" i="3"/>
  <c r="T27" i="3" s="1"/>
  <c r="F27" i="10"/>
  <c r="G27" i="10" s="1"/>
  <c r="H27" i="10" s="1"/>
  <c r="S24" i="3"/>
  <c r="T24" i="3" s="1"/>
  <c r="S48" i="3"/>
  <c r="T48" i="3" s="1"/>
  <c r="F48" i="10"/>
  <c r="G48" i="10" s="1"/>
  <c r="H48" i="10" s="1"/>
  <c r="S41" i="3"/>
  <c r="T41" i="3" s="1"/>
  <c r="F41" i="10"/>
  <c r="G41" i="10" s="1"/>
  <c r="H41" i="10" s="1"/>
  <c r="S13" i="3"/>
  <c r="T13" i="3" s="1"/>
  <c r="F13" i="10"/>
  <c r="G13" i="10" s="1"/>
  <c r="H13" i="10" s="1"/>
  <c r="S5" i="3"/>
  <c r="T5" i="3" s="1"/>
  <c r="R5" i="3"/>
  <c r="F5" i="10" s="1"/>
  <c r="G5" i="10" s="1"/>
  <c r="H5" i="10" s="1"/>
  <c r="S19" i="3"/>
  <c r="T19" i="3" s="1"/>
  <c r="F19" i="10"/>
  <c r="G19" i="10" s="1"/>
  <c r="H19" i="10" s="1"/>
  <c r="S55" i="3"/>
  <c r="T55" i="3" s="1"/>
  <c r="F55" i="10"/>
  <c r="G55" i="10" s="1"/>
  <c r="H55" i="10" s="1"/>
  <c r="S59" i="3"/>
  <c r="T59" i="3" s="1"/>
  <c r="F59" i="10"/>
  <c r="G59" i="10" s="1"/>
  <c r="H59" i="10" s="1"/>
  <c r="S49" i="3"/>
  <c r="T49" i="3" s="1"/>
  <c r="F49" i="10"/>
  <c r="G49" i="10" s="1"/>
  <c r="H49" i="10" s="1"/>
  <c r="S74" i="3"/>
  <c r="T74" i="3" s="1"/>
  <c r="F74" i="10"/>
  <c r="G74" i="10" s="1"/>
  <c r="H74" i="10" s="1"/>
  <c r="S70" i="3"/>
  <c r="T70" i="3" s="1"/>
  <c r="F70" i="10"/>
  <c r="G70" i="10" s="1"/>
  <c r="H70" i="10" s="1"/>
  <c r="S47" i="3"/>
  <c r="T47" i="3" s="1"/>
  <c r="F47" i="10"/>
  <c r="G47" i="10" s="1"/>
  <c r="H47" i="10" s="1"/>
  <c r="S29" i="3"/>
  <c r="T29" i="3" s="1"/>
  <c r="F29" i="10"/>
  <c r="G29" i="10" s="1"/>
  <c r="H29" i="10" s="1"/>
  <c r="S8" i="3"/>
  <c r="T8" i="3" s="1"/>
  <c r="F8" i="10"/>
  <c r="G8" i="10" s="1"/>
  <c r="H8" i="10" s="1"/>
  <c r="S52" i="3"/>
  <c r="T52" i="3" s="1"/>
  <c r="F52" i="10"/>
  <c r="G52" i="10" s="1"/>
  <c r="H52" i="10" s="1"/>
  <c r="S20" i="3"/>
  <c r="T20" i="3" s="1"/>
  <c r="F20" i="10"/>
  <c r="G20" i="10" s="1"/>
  <c r="H20" i="10" s="1"/>
  <c r="S17" i="3"/>
  <c r="T17" i="3" s="1"/>
  <c r="F17" i="10"/>
  <c r="G17" i="10" s="1"/>
  <c r="H17" i="10" s="1"/>
  <c r="S68" i="3"/>
  <c r="T68" i="3" s="1"/>
  <c r="F68" i="10"/>
  <c r="G68" i="10" s="1"/>
  <c r="H68" i="10" s="1"/>
  <c r="S64" i="3"/>
  <c r="T64" i="3" s="1"/>
  <c r="F64" i="10"/>
  <c r="G64" i="10" s="1"/>
  <c r="H64" i="10" s="1"/>
  <c r="S72" i="3"/>
  <c r="T72" i="3" s="1"/>
  <c r="F72" i="10"/>
  <c r="G72" i="10" s="1"/>
  <c r="H72" i="10" s="1"/>
  <c r="S77" i="3"/>
  <c r="T77" i="3" s="1"/>
  <c r="F77" i="10"/>
  <c r="G77" i="10" s="1"/>
  <c r="H77" i="10" s="1"/>
  <c r="S45" i="3"/>
  <c r="T45" i="3" s="1"/>
  <c r="F45" i="10"/>
  <c r="G45" i="10" s="1"/>
  <c r="H45" i="10" s="1"/>
  <c r="S76" i="3"/>
  <c r="T76" i="3" s="1"/>
  <c r="F76" i="10"/>
  <c r="G76" i="10" s="1"/>
  <c r="H76" i="10" s="1"/>
  <c r="S46" i="3"/>
  <c r="T46" i="3" s="1"/>
  <c r="F46" i="10"/>
  <c r="G46" i="10" s="1"/>
  <c r="H46" i="10" s="1"/>
  <c r="S22" i="3"/>
  <c r="T22" i="3" s="1"/>
  <c r="F22" i="10"/>
  <c r="G22" i="10" s="1"/>
  <c r="H22" i="10" s="1"/>
  <c r="S28" i="3"/>
  <c r="T28" i="3" s="1"/>
  <c r="F28" i="10"/>
  <c r="G28" i="10" s="1"/>
  <c r="H28" i="10" s="1"/>
  <c r="S62" i="3"/>
  <c r="T62" i="3" s="1"/>
  <c r="F62" i="10"/>
  <c r="G62" i="10" s="1"/>
  <c r="H62" i="10" s="1"/>
  <c r="S39" i="3"/>
  <c r="T39" i="3" s="1"/>
  <c r="F39" i="10"/>
  <c r="G39" i="10" s="1"/>
  <c r="H39" i="10" s="1"/>
  <c r="S42" i="3"/>
  <c r="T42" i="3" s="1"/>
  <c r="F42" i="10"/>
  <c r="G42" i="10" s="1"/>
  <c r="H42" i="10" s="1"/>
  <c r="S38" i="3"/>
  <c r="T38" i="3" s="1"/>
  <c r="F38" i="10"/>
  <c r="G38" i="10" s="1"/>
  <c r="H38" i="10" s="1"/>
  <c r="S57" i="3"/>
  <c r="T57" i="3" s="1"/>
  <c r="F57" i="10"/>
  <c r="G57" i="10" s="1"/>
  <c r="H57" i="10" s="1"/>
  <c r="S56" i="3"/>
  <c r="T56" i="3" s="1"/>
  <c r="F56" i="10"/>
  <c r="G56" i="10" s="1"/>
  <c r="H56" i="10" s="1"/>
  <c r="S6" i="3"/>
  <c r="T6" i="3" s="1"/>
  <c r="R6" i="3"/>
  <c r="F6" i="10" s="1"/>
  <c r="G6" i="10" s="1"/>
  <c r="H6" i="10" s="1"/>
  <c r="S60" i="3"/>
  <c r="T60" i="3" s="1"/>
  <c r="F60" i="10"/>
  <c r="G60" i="10" s="1"/>
  <c r="H60" i="10" s="1"/>
  <c r="S18" i="3"/>
  <c r="T18" i="3" s="1"/>
  <c r="F18" i="10"/>
  <c r="G18" i="10" s="1"/>
  <c r="H18" i="10" s="1"/>
  <c r="S67" i="3"/>
  <c r="T67" i="3" s="1"/>
  <c r="F67" i="10"/>
  <c r="G67" i="10" s="1"/>
  <c r="H67" i="10" s="1"/>
  <c r="S71" i="3"/>
  <c r="T71" i="3" s="1"/>
  <c r="F71" i="10"/>
  <c r="G71" i="10" s="1"/>
  <c r="H71" i="10" s="1"/>
  <c r="S10" i="3"/>
  <c r="T10" i="3" s="1"/>
  <c r="F10" i="10"/>
  <c r="G10" i="10" s="1"/>
  <c r="H10" i="10" s="1"/>
  <c r="S53" i="3"/>
  <c r="T53" i="3" s="1"/>
  <c r="F53" i="10"/>
  <c r="S66" i="3"/>
  <c r="T66" i="3" s="1"/>
  <c r="F66" i="10"/>
  <c r="G66" i="10" s="1"/>
  <c r="H66" i="10" s="1"/>
  <c r="S21" i="3"/>
  <c r="T21" i="3" s="1"/>
  <c r="F21" i="10"/>
  <c r="G21" i="10" s="1"/>
  <c r="H21" i="10" s="1"/>
  <c r="S73" i="3"/>
  <c r="T73" i="3" s="1"/>
  <c r="F73" i="10"/>
  <c r="G73" i="10" s="1"/>
  <c r="H73" i="10" s="1"/>
  <c r="S33" i="3"/>
  <c r="T33" i="3" s="1"/>
  <c r="F33" i="10"/>
  <c r="G33" i="10" s="1"/>
  <c r="H33" i="10" s="1"/>
  <c r="S61" i="3"/>
  <c r="T61" i="3" s="1"/>
  <c r="F61" i="10"/>
  <c r="G61" i="10" s="1"/>
  <c r="H61" i="10" s="1"/>
  <c r="S79" i="3"/>
  <c r="T79" i="3" s="1"/>
  <c r="F79" i="10"/>
  <c r="G79" i="10" s="1"/>
  <c r="H79" i="10" s="1"/>
  <c r="S58" i="3"/>
  <c r="T58" i="3" s="1"/>
  <c r="F58" i="10"/>
  <c r="G58" i="10" s="1"/>
  <c r="H58" i="10" s="1"/>
  <c r="S11" i="3"/>
  <c r="T11" i="3" s="1"/>
  <c r="F11" i="10"/>
  <c r="G11" i="10" s="1"/>
  <c r="H11" i="10" s="1"/>
  <c r="S75" i="3"/>
  <c r="T75" i="3" s="1"/>
  <c r="F75" i="10"/>
  <c r="G75" i="10" s="1"/>
  <c r="H75" i="10" s="1"/>
  <c r="S44" i="3"/>
  <c r="T44" i="3" s="1"/>
  <c r="F44" i="10"/>
  <c r="G44" i="10" s="1"/>
  <c r="H44" i="10" s="1"/>
  <c r="S14" i="3"/>
  <c r="T14" i="3" s="1"/>
  <c r="F14" i="10"/>
  <c r="G14" i="10" s="1"/>
  <c r="H14" i="10" s="1"/>
  <c r="S65" i="3"/>
  <c r="T65" i="3" s="1"/>
  <c r="F65" i="10"/>
  <c r="G65" i="10" s="1"/>
  <c r="H65" i="10" s="1"/>
  <c r="S43" i="3"/>
  <c r="T43" i="3" s="1"/>
  <c r="F43" i="10"/>
  <c r="G43" i="10" s="1"/>
  <c r="H43" i="10" s="1"/>
  <c r="S7" i="3"/>
  <c r="T7" i="3" s="1"/>
  <c r="R7" i="3"/>
  <c r="F7" i="10" s="1"/>
  <c r="G7" i="10" s="1"/>
  <c r="H7" i="10" s="1"/>
  <c r="S78" i="3"/>
  <c r="T78" i="3" s="1"/>
  <c r="F78" i="10"/>
  <c r="G78" i="10" s="1"/>
  <c r="H78" i="10" s="1"/>
  <c r="S35" i="3"/>
  <c r="T35" i="3" s="1"/>
  <c r="F35" i="10"/>
  <c r="G35" i="10" s="1"/>
  <c r="H35" i="10" s="1"/>
  <c r="S23" i="3"/>
  <c r="T23" i="3" s="1"/>
  <c r="F23" i="10"/>
  <c r="G23" i="10" s="1"/>
  <c r="H23" i="10" s="1"/>
  <c r="S26" i="3"/>
  <c r="T26" i="3" s="1"/>
  <c r="F26" i="10"/>
  <c r="G26" i="10" s="1"/>
  <c r="H26" i="10" s="1"/>
  <c r="S31" i="3"/>
  <c r="T31" i="3" s="1"/>
  <c r="F31" i="10"/>
  <c r="G31" i="10" s="1"/>
  <c r="H31" i="10" s="1"/>
  <c r="S40" i="3"/>
  <c r="T40" i="3" s="1"/>
  <c r="F40" i="10"/>
  <c r="G40" i="10" s="1"/>
  <c r="H40" i="10" s="1"/>
  <c r="S12" i="3"/>
  <c r="T12" i="3" s="1"/>
  <c r="F12" i="10"/>
  <c r="G12" i="10" s="1"/>
  <c r="H12" i="10" s="1"/>
  <c r="Q81" i="3"/>
  <c r="Q83" i="3"/>
  <c r="S4" i="3"/>
  <c r="T52" i="10" l="1"/>
  <c r="S48" i="10"/>
  <c r="T59" i="10" s="1"/>
  <c r="G53" i="10"/>
  <c r="H53" i="10" s="1"/>
  <c r="Y10" i="10"/>
  <c r="V10" i="10"/>
  <c r="D97" i="10"/>
  <c r="G97" i="10" s="1"/>
  <c r="D98" i="10"/>
  <c r="F37" i="10"/>
  <c r="G37" i="10" s="1"/>
  <c r="H37" i="10" s="1"/>
  <c r="S37" i="3"/>
  <c r="T37" i="3" s="1"/>
  <c r="T4" i="3"/>
  <c r="T81" i="3" s="1"/>
  <c r="S81" i="3"/>
  <c r="G98" i="10" l="1"/>
  <c r="G68" i="11" s="1"/>
  <c r="D68" i="11"/>
  <c r="X10" i="10"/>
  <c r="Z10" i="10"/>
  <c r="U11" i="10" s="1"/>
  <c r="AB10" i="10" s="1"/>
  <c r="S35" i="10" s="1"/>
  <c r="W10" i="10"/>
  <c r="T35" i="10" s="1"/>
  <c r="T39" i="10" s="1"/>
  <c r="R81" i="3"/>
  <c r="F80" i="10" s="1"/>
  <c r="S36" i="10" s="1"/>
  <c r="S39" i="10" l="1"/>
  <c r="V35" i="10"/>
  <c r="G80" i="10"/>
  <c r="S40" i="10" l="1"/>
  <c r="R47" i="10"/>
  <c r="V47" i="10" s="1"/>
  <c r="V39" i="10"/>
  <c r="F90" i="10" s="1"/>
  <c r="H90" i="10" s="1"/>
  <c r="F86" i="10"/>
  <c r="H80" i="10"/>
  <c r="G86" i="10" l="1"/>
  <c r="H86" i="10" s="1"/>
  <c r="H97" i="10"/>
  <c r="H98" i="10" s="1"/>
  <c r="S54" i="10"/>
  <c r="R48" i="10"/>
  <c r="V48" i="10" s="1"/>
  <c r="S53" i="10"/>
  <c r="S52" i="10"/>
  <c r="T47" i="10"/>
  <c r="S55" i="10" l="1"/>
  <c r="U52" i="10" s="1"/>
  <c r="U54" i="10" s="1"/>
  <c r="S61" i="10"/>
  <c r="T48" i="10"/>
  <c r="S60" i="10"/>
  <c r="S59" i="10"/>
  <c r="S62" i="10" l="1"/>
  <c r="U59" i="10" s="1"/>
  <c r="U61" i="10" s="1"/>
</calcChain>
</file>

<file path=xl/sharedStrings.xml><?xml version="1.0" encoding="utf-8"?>
<sst xmlns="http://schemas.openxmlformats.org/spreadsheetml/2006/main" count="274" uniqueCount="156">
  <si>
    <t>Tag #</t>
  </si>
  <si>
    <t>CBH</t>
  </si>
  <si>
    <t>Missing</t>
  </si>
  <si>
    <t>Hgt</t>
  </si>
  <si>
    <t>Feet</t>
  </si>
  <si>
    <t>Tons</t>
  </si>
  <si>
    <t>DBH</t>
  </si>
  <si>
    <t>Form Factor</t>
  </si>
  <si>
    <t>90N</t>
  </si>
  <si>
    <t>Total</t>
  </si>
  <si>
    <t>Vol-trunks &amp; limbs</t>
  </si>
  <si>
    <t xml:space="preserve"> Carbon </t>
  </si>
  <si>
    <t>Total # pines</t>
  </si>
  <si>
    <t>38 pines estimated</t>
  </si>
  <si>
    <t>38 pines measured</t>
  </si>
  <si>
    <t>DBH at 50</t>
  </si>
  <si>
    <t>Hgt at 50</t>
  </si>
  <si>
    <t>FF at 50</t>
  </si>
  <si>
    <t>Vol at 50</t>
  </si>
  <si>
    <t>Vol gain after 50</t>
  </si>
  <si>
    <t>In 50-year cycles</t>
  </si>
  <si>
    <t>Trunk&amp;Limbs</t>
  </si>
  <si>
    <t xml:space="preserve">Evaluation of Above Ground Carbon Load in the Trees  of Peace </t>
  </si>
  <si>
    <t>CBH at 50</t>
  </si>
  <si>
    <t>Radius Gain/Yr after 50</t>
  </si>
  <si>
    <t xml:space="preserve"> inches</t>
  </si>
  <si>
    <t>Hgt Gain/yr after 50</t>
  </si>
  <si>
    <t>feet</t>
  </si>
  <si>
    <r>
      <t>NTS Feet</t>
    </r>
    <r>
      <rPr>
        <b/>
        <vertAlign val="superscript"/>
        <sz val="16"/>
        <color theme="1"/>
        <rFont val="Calibri (Body)"/>
      </rPr>
      <t>3</t>
    </r>
  </si>
  <si>
    <r>
      <t>FIA Feet</t>
    </r>
    <r>
      <rPr>
        <b/>
        <vertAlign val="superscript"/>
        <sz val="16"/>
        <color theme="1"/>
        <rFont val="Calibri (Body)"/>
      </rPr>
      <t>3</t>
    </r>
  </si>
  <si>
    <t>Avg FF</t>
  </si>
  <si>
    <t>Avg Vol trunk &amp; Limbs</t>
  </si>
  <si>
    <t>&lt;==limb factor</t>
  </si>
  <si>
    <t>NTS</t>
  </si>
  <si>
    <t xml:space="preserve"> Carbon @ 150  yrs</t>
  </si>
  <si>
    <t>DBH-ft</t>
  </si>
  <si>
    <t>Hgt-ft</t>
  </si>
  <si>
    <t xml:space="preserve"> Carbon @ 150 yrs </t>
  </si>
  <si>
    <t>FIA</t>
  </si>
  <si>
    <t>Tree ID</t>
  </si>
  <si>
    <t>Carbon at 50-tons</t>
  </si>
  <si>
    <t>Carbon @ 50 yrs</t>
  </si>
  <si>
    <t>Avg Carbon Gain/50-yr period after first 50 yrs</t>
  </si>
  <si>
    <t>Total Imperial</t>
  </si>
  <si>
    <t>Total Metric</t>
  </si>
  <si>
    <t>Current density</t>
  </si>
  <si>
    <t>Imperial</t>
  </si>
  <si>
    <t>Metric Conv Fac</t>
  </si>
  <si>
    <t>Tot Tons</t>
  </si>
  <si>
    <t>Tot Stem count</t>
  </si>
  <si>
    <t>Stems/acre</t>
  </si>
  <si>
    <t>Tons/acre</t>
  </si>
  <si>
    <t>Number</t>
  </si>
  <si>
    <t>All</t>
  </si>
  <si>
    <t>Theoretical number</t>
  </si>
  <si>
    <t>Carbon</t>
  </si>
  <si>
    <t>NTS Projection of carbon in trees that didn't survive past 50 yrs</t>
  </si>
  <si>
    <t>Metric</t>
  </si>
  <si>
    <t>FIA Projection of carbon in trees that didn't survive past 50 yrs</t>
  </si>
  <si>
    <t xml:space="preserve">Carbon  in  trees at 50 yrs that are alive at150 yrs    </t>
  </si>
  <si>
    <t>Projected carbon at 50 years</t>
  </si>
  <si>
    <t>Theoretical number of trees at 50 years</t>
  </si>
  <si>
    <t>Tot carbon at 50</t>
  </si>
  <si>
    <t>Ratio of ages</t>
  </si>
  <si>
    <t xml:space="preserve">Percent of smaller trees of the 76 used below </t>
  </si>
  <si>
    <t>Start of DB</t>
  </si>
  <si>
    <t>End of DB</t>
  </si>
  <si>
    <t>Criteria</t>
  </si>
  <si>
    <t>count</t>
  </si>
  <si>
    <t>Complete sum</t>
  </si>
  <si>
    <t>Cutoff value</t>
  </si>
  <si>
    <t xml:space="preserve">Number of trees in sample at 150 years </t>
  </si>
  <si>
    <t xml:space="preserve">Number of trees in smallest sample 150 years </t>
  </si>
  <si>
    <t>&lt; == # corresponding to area covered by 76 pines</t>
  </si>
  <si>
    <t>Max # Pines/acre</t>
  </si>
  <si>
    <t>Rotation #</t>
  </si>
  <si>
    <t>Prop retained</t>
  </si>
  <si>
    <t>Amt</t>
  </si>
  <si>
    <t>150-yr Amt</t>
  </si>
  <si>
    <t>3 50-yr rotations</t>
  </si>
  <si>
    <t>Ratio</t>
  </si>
  <si>
    <t>50 yrs-tons</t>
  </si>
  <si>
    <t>150 yrs-tons</t>
  </si>
  <si>
    <t>Ratio Carbon-tons</t>
  </si>
  <si>
    <t>Amt-tons</t>
  </si>
  <si>
    <t>150-yr Amt-tons</t>
  </si>
  <si>
    <t>3 50-yr rotations-tons</t>
  </si>
  <si>
    <t>Amt-tonnes</t>
  </si>
  <si>
    <t>150-yr Amt-tonnes</t>
  </si>
  <si>
    <t>3 50-yr rotations-tonnes</t>
  </si>
  <si>
    <t>&lt; == based on chronosequencing an 84-year old stand down to 50 yrs.</t>
  </si>
  <si>
    <t>&lt;== based on FIA data for stand density at 50 years.</t>
  </si>
  <si>
    <t>FIA Tons</t>
  </si>
  <si>
    <t>NTS Tons</t>
  </si>
  <si>
    <r>
      <rPr>
        <b/>
        <sz val="18"/>
        <color theme="1"/>
        <rFont val="Calibri (Body)_x0000_"/>
      </rPr>
      <t xml:space="preserve">NTS </t>
    </r>
    <r>
      <rPr>
        <b/>
        <sz val="14"/>
        <color theme="1"/>
        <rFont val="Calibri"/>
        <family val="2"/>
        <scheme val="minor"/>
      </rPr>
      <t>Measurements at 50 yrs ----------------------------------------------&gt;</t>
    </r>
  </si>
  <si>
    <r>
      <rPr>
        <b/>
        <sz val="18"/>
        <color theme="1"/>
        <rFont val="Calibri (Body)_x0000_"/>
      </rPr>
      <t xml:space="preserve">FIA  </t>
    </r>
    <r>
      <rPr>
        <b/>
        <sz val="14"/>
        <color theme="1"/>
        <rFont val="Calibri"/>
        <family val="2"/>
        <scheme val="minor"/>
      </rPr>
      <t>Measurements at 50 yrs -----------------------------------------------&gt;</t>
    </r>
  </si>
  <si>
    <r>
      <rPr>
        <b/>
        <sz val="18"/>
        <color theme="1"/>
        <rFont val="Calibri (Body)_x0000_"/>
      </rPr>
      <t>FIA-</t>
    </r>
    <r>
      <rPr>
        <b/>
        <sz val="14"/>
        <color theme="1"/>
        <rFont val="Calibri"/>
        <family val="2"/>
        <scheme val="minor"/>
      </rPr>
      <t xml:space="preserve">Equivalent </t>
    </r>
  </si>
  <si>
    <r>
      <rPr>
        <b/>
        <sz val="18"/>
        <color theme="1"/>
        <rFont val="Calibri (Body)_x0000_"/>
      </rPr>
      <t>FIA</t>
    </r>
    <r>
      <rPr>
        <b/>
        <sz val="14"/>
        <color theme="1"/>
        <rFont val="Calibri"/>
        <family val="2"/>
        <scheme val="minor"/>
      </rPr>
      <t xml:space="preserve">-Equivalent </t>
    </r>
  </si>
  <si>
    <t>Wood density lbs/ft^3</t>
  </si>
  <si>
    <t>Part Carbon</t>
  </si>
  <si>
    <t>Carbon Gain  after 50 years</t>
  </si>
  <si>
    <t>Proportion of smallest stems</t>
  </si>
  <si>
    <t>Choose recs smaller than</t>
  </si>
  <si>
    <t>Average of Small Values</t>
  </si>
  <si>
    <t>Avg crown radius</t>
  </si>
  <si>
    <t>Avg crown area</t>
  </si>
  <si>
    <t>stems/acre</t>
  </si>
  <si>
    <t>Stems/acre based on crown size</t>
  </si>
  <si>
    <t>Ratio: current/(3 rotations)</t>
  </si>
  <si>
    <t>&lt;== value representing trees present at 50, but absent at 150.</t>
  </si>
  <si>
    <t xml:space="preserve">Carbon  in  avg tree at 50 yrs that is missing at 150 yrs    </t>
  </si>
  <si>
    <t>Carbon tons</t>
  </si>
  <si>
    <t>max carbon in stem</t>
  </si>
  <si>
    <t>min carbon in stem</t>
  </si>
  <si>
    <t>NTS Carbon Summary for 76 Pines-Trees of Peace</t>
  </si>
  <si>
    <t>FIA Carbon Summary for 76 Pines- Trees of Peace</t>
  </si>
  <si>
    <t>SUMMARIES-NTS</t>
  </si>
  <si>
    <t>SUMMARIES-FIA</t>
  </si>
  <si>
    <t>Carbon remaining after stand rotations at 150 years.</t>
  </si>
  <si>
    <t>Applies to all 76 pines</t>
  </si>
  <si>
    <t>Carbon/acre</t>
  </si>
  <si>
    <t>Average</t>
  </si>
  <si>
    <t>&lt;-- density from 3 sources</t>
  </si>
  <si>
    <t>Current stem count ------&gt;</t>
  </si>
  <si>
    <t>Projected Carbon tonnes at 50 yrs</t>
  </si>
  <si>
    <t>Projected Carbon tons at 50 yrs ---&gt;</t>
  </si>
  <si>
    <t>Projected 50-yr/stem acre density ---&gt;</t>
  </si>
  <si>
    <t>NTS Direct Measuring Summary - 50 year projections</t>
  </si>
  <si>
    <t>FIA-Equivalent Measuring Summary - 50 year projections</t>
  </si>
  <si>
    <t>NTS - 150-yr projection to an acre</t>
  </si>
  <si>
    <t>FIA - 150-yr projection to an acre</t>
  </si>
  <si>
    <t>at 150 yrs</t>
  </si>
  <si>
    <t>at 50 yrs</t>
  </si>
  <si>
    <t>Per Acre Calculations at 150</t>
  </si>
  <si>
    <t>Database Critera Region  (It sets the upper size chosen for suppressed pines at 50 years that will not live to 150 based on the factor in cell AA10.)</t>
  </si>
  <si>
    <t>This area computes the stand density at age 50 of live stems uisng three independent methods.</t>
  </si>
  <si>
    <t>This area computes the carbon in living trees at age 50 that don't survive to 150.</t>
  </si>
  <si>
    <t>Proportion of Decay</t>
  </si>
  <si>
    <t>NTS Avg Vol-trunks &amp; limbs-ft^3</t>
  </si>
  <si>
    <t>Avg Hgt-ft</t>
  </si>
  <si>
    <t>Avg CBH-ft</t>
  </si>
  <si>
    <t>Avg DBH-ft</t>
  </si>
  <si>
    <t xml:space="preserve"> NTS Carbon Today-tons</t>
  </si>
  <si>
    <t>FIA Avg Vol-trunks &amp; limbs-ft^3</t>
  </si>
  <si>
    <t>NTS Vol-trunks &amp; limbs-ft^3</t>
  </si>
  <si>
    <t>FIA Vol-trunks &amp; limbs-ft^3</t>
  </si>
  <si>
    <t>NTS Carbon at 50 yrs-tons</t>
  </si>
  <si>
    <t>NTS Average Vol gain after 50 yrs-ft^3</t>
  </si>
  <si>
    <t>NTS Average Vol gain after 50 yrs in 50-yr cycles-ft^3</t>
  </si>
  <si>
    <t>FIA Carbon at 50 yrs-tons</t>
  </si>
  <si>
    <t>FIA Average Vol gain after 50 yrs-ft^3</t>
  </si>
  <si>
    <t>FIAS Average Vol gain after 50 yrs in 50-yr cycles-ft^3</t>
  </si>
  <si>
    <t>Averages-&gt;</t>
  </si>
  <si>
    <t>Max carbon of any tree</t>
  </si>
  <si>
    <t>Min carbon of any tree</t>
  </si>
  <si>
    <t>&lt;== based on crown area determination. See cells AF24:AH26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</si>
</sst>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
  </numFmts>
  <fonts count="19">
    <font>
      <sz val="12"/>
      <color theme="1"/>
      <name val="Calibri"/>
      <family val="2"/>
      <scheme val="minor"/>
    </font>
    <font>
      <b/>
      <sz val="12"/>
      <color theme="1"/>
      <name val="Calibri"/>
      <family val="2"/>
      <scheme val="minor"/>
    </font>
    <font>
      <b/>
      <sz val="14"/>
      <color theme="1"/>
      <name val="Calibri"/>
      <family val="2"/>
      <scheme val="minor"/>
    </font>
    <font>
      <b/>
      <sz val="14"/>
      <color rgb="FFFF0000"/>
      <name val="Calibri"/>
      <family val="2"/>
      <scheme val="minor"/>
    </font>
    <font>
      <b/>
      <sz val="16"/>
      <color theme="1"/>
      <name val="Calibri"/>
      <family val="2"/>
      <scheme val="minor"/>
    </font>
    <font>
      <b/>
      <vertAlign val="superscript"/>
      <sz val="16"/>
      <color theme="1"/>
      <name val="Calibri (Body)"/>
    </font>
    <font>
      <b/>
      <sz val="18"/>
      <color theme="1"/>
      <name val="Calibri"/>
      <family val="2"/>
      <scheme val="minor"/>
    </font>
    <font>
      <b/>
      <sz val="12"/>
      <color rgb="FF000000"/>
      <name val="Calibri"/>
      <family val="2"/>
      <scheme val="minor"/>
    </font>
    <font>
      <sz val="12"/>
      <color rgb="FF000000"/>
      <name val="Calibri"/>
      <family val="2"/>
      <scheme val="minor"/>
    </font>
    <font>
      <sz val="16"/>
      <color theme="1"/>
      <name val="Calibri"/>
      <family val="2"/>
      <scheme val="minor"/>
    </font>
    <font>
      <b/>
      <sz val="20"/>
      <color theme="1"/>
      <name val="Calibri"/>
      <family val="2"/>
      <scheme val="minor"/>
    </font>
    <font>
      <sz val="14"/>
      <color theme="1"/>
      <name val="Calibri"/>
      <family val="2"/>
      <scheme val="minor"/>
    </font>
    <font>
      <b/>
      <sz val="18"/>
      <color theme="1"/>
      <name val="Calibri (Body)_x0000_"/>
    </font>
    <font>
      <b/>
      <sz val="18"/>
      <color rgb="FFFF0000"/>
      <name val="Calibri"/>
      <family val="2"/>
      <scheme val="minor"/>
    </font>
    <font>
      <b/>
      <sz val="14"/>
      <color rgb="FF000000"/>
      <name val="Calibri"/>
      <family val="2"/>
      <scheme val="minor"/>
    </font>
    <font>
      <b/>
      <sz val="16"/>
      <color theme="4" tint="-0.249977111117893"/>
      <name val="Calibri"/>
      <family val="2"/>
      <scheme val="minor"/>
    </font>
    <font>
      <b/>
      <sz val="12"/>
      <color theme="4" tint="-0.249977111117893"/>
      <name val="Calibri"/>
      <family val="2"/>
      <scheme val="minor"/>
    </font>
    <font>
      <b/>
      <sz val="16"/>
      <color theme="4" tint="-0.249977111117893"/>
      <name val="Calibri (Body)_x0000_"/>
    </font>
    <font>
      <b/>
      <sz val="20"/>
      <color rgb="FFFF0000"/>
      <name val="Calibri"/>
      <family val="2"/>
      <scheme val="minor"/>
    </font>
  </fonts>
  <fills count="12">
    <fill>
      <patternFill patternType="none"/>
    </fill>
    <fill>
      <patternFill patternType="gray125"/>
    </fill>
    <fill>
      <patternFill patternType="solid">
        <fgColor theme="5" tint="0.39997558519241921"/>
        <bgColor indexed="64"/>
      </patternFill>
    </fill>
    <fill>
      <patternFill patternType="solid">
        <fgColor theme="9" tint="0.59999389629810485"/>
        <bgColor indexed="64"/>
      </patternFill>
    </fill>
    <fill>
      <patternFill patternType="solid">
        <fgColor rgb="FFFFC000"/>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F4B084"/>
        <bgColor rgb="FF000000"/>
      </patternFill>
    </fill>
    <fill>
      <patternFill patternType="solid">
        <fgColor rgb="FFFCE4D6"/>
        <bgColor rgb="FF000000"/>
      </patternFill>
    </fill>
    <fill>
      <patternFill patternType="solid">
        <fgColor theme="9"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medium">
        <color indexed="64"/>
      </right>
      <top style="thin">
        <color indexed="64"/>
      </top>
      <bottom/>
      <diagonal/>
    </border>
  </borders>
  <cellStyleXfs count="1">
    <xf numFmtId="0" fontId="0" fillId="0" borderId="0"/>
  </cellStyleXfs>
  <cellXfs count="306">
    <xf numFmtId="0" fontId="0" fillId="0" borderId="0" xfId="0"/>
    <xf numFmtId="0" fontId="1" fillId="3" borderId="1" xfId="0" applyFont="1" applyFill="1" applyBorder="1"/>
    <xf numFmtId="2" fontId="2" fillId="3" borderId="1" xfId="0" applyNumberFormat="1" applyFont="1" applyFill="1" applyBorder="1"/>
    <xf numFmtId="0" fontId="1" fillId="3" borderId="1" xfId="0" applyFont="1" applyFill="1" applyBorder="1" applyAlignment="1">
      <alignment horizontal="right"/>
    </xf>
    <xf numFmtId="0" fontId="1" fillId="3" borderId="0" xfId="0" applyFont="1" applyFill="1" applyBorder="1" applyAlignment="1">
      <alignment horizontal="right"/>
    </xf>
    <xf numFmtId="0" fontId="1" fillId="3" borderId="2" xfId="0" applyFont="1" applyFill="1" applyBorder="1" applyAlignment="1">
      <alignment horizontal="right"/>
    </xf>
    <xf numFmtId="0" fontId="0" fillId="4" borderId="5" xfId="0" applyFill="1" applyBorder="1"/>
    <xf numFmtId="0" fontId="0" fillId="4" borderId="6" xfId="0" applyFill="1" applyBorder="1"/>
    <xf numFmtId="2" fontId="3" fillId="3" borderId="1" xfId="0" applyNumberFormat="1" applyFont="1" applyFill="1" applyBorder="1"/>
    <xf numFmtId="2" fontId="2" fillId="3" borderId="0" xfId="0" applyNumberFormat="1" applyFont="1" applyFill="1" applyBorder="1"/>
    <xf numFmtId="2" fontId="2" fillId="3" borderId="2" xfId="0" applyNumberFormat="1" applyFont="1" applyFill="1" applyBorder="1"/>
    <xf numFmtId="0" fontId="4" fillId="2" borderId="8" xfId="0" applyFont="1" applyFill="1" applyBorder="1" applyAlignment="1">
      <alignment horizontal="center"/>
    </xf>
    <xf numFmtId="0" fontId="4" fillId="2" borderId="9" xfId="0" applyFont="1" applyFill="1" applyBorder="1" applyAlignment="1">
      <alignment horizontal="center"/>
    </xf>
    <xf numFmtId="0" fontId="4" fillId="2" borderId="9" xfId="0" applyFont="1" applyFill="1" applyBorder="1" applyAlignment="1">
      <alignment horizontal="right"/>
    </xf>
    <xf numFmtId="0" fontId="4" fillId="2" borderId="10" xfId="0" applyFont="1" applyFill="1" applyBorder="1" applyAlignment="1">
      <alignment horizontal="right"/>
    </xf>
    <xf numFmtId="0" fontId="0" fillId="0" borderId="0" xfId="0" applyAlignment="1">
      <alignment wrapText="1"/>
    </xf>
    <xf numFmtId="164" fontId="0" fillId="4" borderId="5" xfId="0" applyNumberFormat="1" applyFill="1" applyBorder="1"/>
    <xf numFmtId="164" fontId="4" fillId="2" borderId="9" xfId="0" applyNumberFormat="1" applyFont="1" applyFill="1" applyBorder="1" applyAlignment="1">
      <alignment horizontal="center"/>
    </xf>
    <xf numFmtId="164" fontId="2" fillId="3" borderId="1" xfId="0" applyNumberFormat="1" applyFont="1" applyFill="1" applyBorder="1"/>
    <xf numFmtId="164" fontId="1" fillId="0" borderId="0" xfId="0" applyNumberFormat="1" applyFont="1"/>
    <xf numFmtId="164" fontId="0" fillId="0" borderId="0" xfId="0" applyNumberFormat="1"/>
    <xf numFmtId="2" fontId="2" fillId="3" borderId="11" xfId="0" applyNumberFormat="1" applyFont="1" applyFill="1" applyBorder="1"/>
    <xf numFmtId="0" fontId="1" fillId="3" borderId="11" xfId="0" applyFont="1" applyFill="1" applyBorder="1"/>
    <xf numFmtId="164" fontId="2" fillId="3" borderId="11" xfId="0" applyNumberFormat="1" applyFont="1" applyFill="1" applyBorder="1"/>
    <xf numFmtId="2" fontId="3" fillId="3" borderId="11" xfId="0" applyNumberFormat="1" applyFont="1" applyFill="1" applyBorder="1"/>
    <xf numFmtId="2" fontId="2" fillId="3" borderId="17" xfId="0" applyNumberFormat="1" applyFont="1" applyFill="1" applyBorder="1"/>
    <xf numFmtId="2" fontId="2" fillId="3" borderId="15" xfId="0" applyNumberFormat="1" applyFont="1" applyFill="1" applyBorder="1"/>
    <xf numFmtId="0" fontId="4" fillId="2" borderId="3" xfId="0" applyFont="1" applyFill="1" applyBorder="1" applyAlignment="1">
      <alignment horizontal="right" wrapText="1"/>
    </xf>
    <xf numFmtId="164" fontId="4" fillId="2" borderId="3" xfId="0" applyNumberFormat="1" applyFont="1" applyFill="1" applyBorder="1" applyAlignment="1">
      <alignment horizontal="right" wrapText="1"/>
    </xf>
    <xf numFmtId="0" fontId="1" fillId="2" borderId="3" xfId="0" applyFont="1" applyFill="1" applyBorder="1" applyAlignment="1">
      <alignment horizontal="right" wrapText="1"/>
    </xf>
    <xf numFmtId="0" fontId="1" fillId="2" borderId="23" xfId="0" applyFont="1" applyFill="1" applyBorder="1"/>
    <xf numFmtId="0" fontId="6" fillId="4" borderId="4" xfId="0" applyFont="1" applyFill="1" applyBorder="1" applyAlignment="1">
      <alignment horizontal="left"/>
    </xf>
    <xf numFmtId="0" fontId="1" fillId="5" borderId="24" xfId="0" applyFont="1" applyFill="1" applyBorder="1"/>
    <xf numFmtId="0" fontId="1" fillId="5" borderId="25" xfId="0" applyFont="1" applyFill="1" applyBorder="1"/>
    <xf numFmtId="0" fontId="1" fillId="5" borderId="7" xfId="0" applyFont="1" applyFill="1" applyBorder="1"/>
    <xf numFmtId="0" fontId="1" fillId="5" borderId="26" xfId="0" applyFont="1" applyFill="1" applyBorder="1"/>
    <xf numFmtId="0" fontId="2" fillId="4" borderId="6" xfId="0" applyFont="1" applyFill="1" applyBorder="1"/>
    <xf numFmtId="2" fontId="2" fillId="6" borderId="1" xfId="0" applyNumberFormat="1" applyFont="1" applyFill="1" applyBorder="1"/>
    <xf numFmtId="2" fontId="2" fillId="6" borderId="11" xfId="0" applyNumberFormat="1" applyFont="1" applyFill="1" applyBorder="1"/>
    <xf numFmtId="0" fontId="4" fillId="2" borderId="1" xfId="0" applyFont="1" applyFill="1" applyBorder="1" applyAlignment="1">
      <alignment horizontal="right" wrapText="1"/>
    </xf>
    <xf numFmtId="2" fontId="2" fillId="5" borderId="15" xfId="0" applyNumberFormat="1" applyFont="1" applyFill="1" applyBorder="1"/>
    <xf numFmtId="0" fontId="4" fillId="2" borderId="2" xfId="0" applyFont="1" applyFill="1" applyBorder="1" applyAlignment="1">
      <alignment horizontal="right" wrapText="1"/>
    </xf>
    <xf numFmtId="2" fontId="2" fillId="5" borderId="23" xfId="0" applyNumberFormat="1" applyFont="1" applyFill="1" applyBorder="1"/>
    <xf numFmtId="0" fontId="4" fillId="2" borderId="7" xfId="0" applyFont="1" applyFill="1" applyBorder="1" applyAlignment="1">
      <alignment horizontal="right" wrapText="1"/>
    </xf>
    <xf numFmtId="0" fontId="4" fillId="2" borderId="26" xfId="0" applyFont="1" applyFill="1" applyBorder="1" applyAlignment="1">
      <alignment horizontal="right" wrapText="1"/>
    </xf>
    <xf numFmtId="0" fontId="2" fillId="4" borderId="23" xfId="0" applyFont="1" applyFill="1" applyBorder="1" applyAlignment="1">
      <alignment horizontal="left"/>
    </xf>
    <xf numFmtId="2" fontId="2" fillId="5" borderId="27" xfId="0" applyNumberFormat="1" applyFont="1" applyFill="1" applyBorder="1"/>
    <xf numFmtId="0" fontId="1" fillId="3" borderId="28" xfId="0" applyFont="1" applyFill="1" applyBorder="1" applyAlignment="1">
      <alignment horizontal="right"/>
    </xf>
    <xf numFmtId="2" fontId="2" fillId="3" borderId="18" xfId="0" applyNumberFormat="1" applyFont="1" applyFill="1" applyBorder="1"/>
    <xf numFmtId="2" fontId="2" fillId="3" borderId="29" xfId="0" applyNumberFormat="1" applyFont="1" applyFill="1" applyBorder="1"/>
    <xf numFmtId="164" fontId="2" fillId="3" borderId="29" xfId="0" applyNumberFormat="1" applyFont="1" applyFill="1" applyBorder="1"/>
    <xf numFmtId="0" fontId="4" fillId="7" borderId="16" xfId="0" applyFont="1" applyFill="1" applyBorder="1" applyAlignment="1">
      <alignment horizontal="right" wrapText="1"/>
    </xf>
    <xf numFmtId="164" fontId="4" fillId="7" borderId="16" xfId="0" applyNumberFormat="1" applyFont="1" applyFill="1" applyBorder="1" applyAlignment="1">
      <alignment horizontal="right" wrapText="1"/>
    </xf>
    <xf numFmtId="0" fontId="4" fillId="7" borderId="17" xfId="0" applyFont="1" applyFill="1" applyBorder="1" applyAlignment="1">
      <alignment horizontal="right" wrapText="1"/>
    </xf>
    <xf numFmtId="2" fontId="2" fillId="7" borderId="12" xfId="0" applyNumberFormat="1" applyFont="1" applyFill="1" applyBorder="1"/>
    <xf numFmtId="2" fontId="2" fillId="7" borderId="13" xfId="0" applyNumberFormat="1" applyFont="1" applyFill="1" applyBorder="1"/>
    <xf numFmtId="165" fontId="2" fillId="7" borderId="13" xfId="0" applyNumberFormat="1" applyFont="1" applyFill="1" applyBorder="1"/>
    <xf numFmtId="2" fontId="2" fillId="7" borderId="30" xfId="0" applyNumberFormat="1" applyFont="1" applyFill="1" applyBorder="1"/>
    <xf numFmtId="0" fontId="1" fillId="7" borderId="31" xfId="0" applyFont="1" applyFill="1" applyBorder="1"/>
    <xf numFmtId="0" fontId="1" fillId="7" borderId="32" xfId="0" applyFont="1" applyFill="1" applyBorder="1"/>
    <xf numFmtId="0" fontId="1" fillId="7" borderId="4" xfId="0" applyFont="1" applyFill="1" applyBorder="1"/>
    <xf numFmtId="164" fontId="1" fillId="7" borderId="6" xfId="0" applyNumberFormat="1" applyFont="1" applyFill="1" applyBorder="1"/>
    <xf numFmtId="0" fontId="1" fillId="7" borderId="23" xfId="0" applyFont="1" applyFill="1" applyBorder="1"/>
    <xf numFmtId="0" fontId="4" fillId="7" borderId="33" xfId="0" applyFont="1" applyFill="1" applyBorder="1" applyAlignment="1">
      <alignment horizontal="right" wrapText="1"/>
    </xf>
    <xf numFmtId="2" fontId="2" fillId="5" borderId="34" xfId="0" applyNumberFormat="1" applyFont="1" applyFill="1" applyBorder="1"/>
    <xf numFmtId="0" fontId="4" fillId="2" borderId="23" xfId="0" applyFont="1" applyFill="1" applyBorder="1" applyAlignment="1">
      <alignment horizontal="right" wrapText="1"/>
    </xf>
    <xf numFmtId="0" fontId="2" fillId="4" borderId="23" xfId="0" applyFont="1" applyFill="1" applyBorder="1" applyAlignment="1">
      <alignment horizontal="right"/>
    </xf>
    <xf numFmtId="2" fontId="2" fillId="8" borderId="1" xfId="0" applyNumberFormat="1" applyFont="1" applyFill="1" applyBorder="1"/>
    <xf numFmtId="0" fontId="2" fillId="8" borderId="1" xfId="0" applyNumberFormat="1" applyFont="1" applyFill="1" applyBorder="1"/>
    <xf numFmtId="0" fontId="4" fillId="2" borderId="23" xfId="0" applyFont="1" applyFill="1" applyBorder="1" applyAlignment="1">
      <alignment horizontal="right"/>
    </xf>
    <xf numFmtId="0" fontId="1" fillId="5" borderId="1" xfId="0" applyFont="1" applyFill="1" applyBorder="1" applyAlignment="1">
      <alignment horizontal="right"/>
    </xf>
    <xf numFmtId="2" fontId="2" fillId="5" borderId="1" xfId="0" applyNumberFormat="1" applyFont="1" applyFill="1" applyBorder="1"/>
    <xf numFmtId="2" fontId="1" fillId="5" borderId="1" xfId="0" applyNumberFormat="1" applyFont="1" applyFill="1" applyBorder="1"/>
    <xf numFmtId="2" fontId="2" fillId="2" borderId="1" xfId="0" applyNumberFormat="1" applyFont="1" applyFill="1" applyBorder="1"/>
    <xf numFmtId="0" fontId="1" fillId="2" borderId="31" xfId="0" applyFont="1" applyFill="1" applyBorder="1"/>
    <xf numFmtId="0" fontId="1" fillId="2" borderId="39" xfId="0" applyFont="1" applyFill="1" applyBorder="1"/>
    <xf numFmtId="0" fontId="1" fillId="2" borderId="4" xfId="0" applyFont="1" applyFill="1" applyBorder="1"/>
    <xf numFmtId="0" fontId="1" fillId="2" borderId="6" xfId="0" applyFont="1" applyFill="1" applyBorder="1"/>
    <xf numFmtId="0" fontId="1" fillId="5" borderId="4" xfId="0" applyFont="1" applyFill="1" applyBorder="1"/>
    <xf numFmtId="0" fontId="1" fillId="5" borderId="6" xfId="0" applyFont="1" applyFill="1" applyBorder="1"/>
    <xf numFmtId="0" fontId="1" fillId="5" borderId="31" xfId="0" applyFont="1" applyFill="1" applyBorder="1"/>
    <xf numFmtId="0" fontId="1" fillId="5" borderId="39" xfId="0" applyFont="1" applyFill="1" applyBorder="1"/>
    <xf numFmtId="2" fontId="1" fillId="5" borderId="23" xfId="0" applyNumberFormat="1" applyFont="1" applyFill="1" applyBorder="1"/>
    <xf numFmtId="0" fontId="1" fillId="5" borderId="23" xfId="0" applyFont="1" applyFill="1" applyBorder="1"/>
    <xf numFmtId="0" fontId="0" fillId="8" borderId="35" xfId="0" applyFill="1" applyBorder="1"/>
    <xf numFmtId="0" fontId="0" fillId="8" borderId="36" xfId="0" applyFill="1" applyBorder="1"/>
    <xf numFmtId="0" fontId="0" fillId="8" borderId="0" xfId="0" applyFill="1" applyBorder="1"/>
    <xf numFmtId="0" fontId="0" fillId="8" borderId="38" xfId="0" applyFill="1" applyBorder="1"/>
    <xf numFmtId="0" fontId="0" fillId="8" borderId="37" xfId="0" applyFill="1" applyBorder="1"/>
    <xf numFmtId="0" fontId="0" fillId="8" borderId="32" xfId="0" applyFill="1" applyBorder="1"/>
    <xf numFmtId="0" fontId="0" fillId="8" borderId="39" xfId="0" applyFill="1" applyBorder="1"/>
    <xf numFmtId="0" fontId="1" fillId="7" borderId="6" xfId="0" applyFont="1" applyFill="1" applyBorder="1"/>
    <xf numFmtId="0" fontId="1" fillId="2" borderId="11" xfId="0" applyFont="1" applyFill="1" applyBorder="1" applyAlignment="1">
      <alignment horizontal="right"/>
    </xf>
    <xf numFmtId="2" fontId="2" fillId="2" borderId="11" xfId="0" applyNumberFormat="1" applyFont="1" applyFill="1" applyBorder="1"/>
    <xf numFmtId="0" fontId="1" fillId="7" borderId="5" xfId="0" applyFont="1" applyFill="1" applyBorder="1"/>
    <xf numFmtId="2" fontId="1" fillId="5" borderId="39" xfId="0" applyNumberFormat="1" applyFont="1" applyFill="1" applyBorder="1"/>
    <xf numFmtId="2" fontId="1" fillId="2" borderId="39" xfId="0" applyNumberFormat="1" applyFont="1" applyFill="1" applyBorder="1"/>
    <xf numFmtId="2" fontId="1" fillId="2" borderId="23" xfId="0" applyNumberFormat="1" applyFont="1" applyFill="1" applyBorder="1"/>
    <xf numFmtId="2" fontId="1" fillId="2" borderId="6" xfId="0" applyNumberFormat="1" applyFont="1" applyFill="1" applyBorder="1"/>
    <xf numFmtId="0" fontId="1" fillId="8" borderId="4" xfId="0" applyFont="1" applyFill="1" applyBorder="1"/>
    <xf numFmtId="2" fontId="2" fillId="5" borderId="9" xfId="0" applyNumberFormat="1" applyFont="1" applyFill="1" applyBorder="1"/>
    <xf numFmtId="2" fontId="2" fillId="5" borderId="10" xfId="0" applyNumberFormat="1" applyFont="1" applyFill="1" applyBorder="1"/>
    <xf numFmtId="2" fontId="2" fillId="5" borderId="8" xfId="0" applyNumberFormat="1" applyFont="1" applyFill="1" applyBorder="1" applyAlignment="1">
      <alignment horizontal="right"/>
    </xf>
    <xf numFmtId="2" fontId="2" fillId="5" borderId="9" xfId="0" applyNumberFormat="1" applyFont="1" applyFill="1" applyBorder="1" applyAlignment="1">
      <alignment horizontal="left"/>
    </xf>
    <xf numFmtId="2" fontId="2" fillId="5" borderId="10" xfId="0" applyNumberFormat="1" applyFont="1" applyFill="1" applyBorder="1" applyAlignment="1">
      <alignment horizontal="left"/>
    </xf>
    <xf numFmtId="2" fontId="2" fillId="5" borderId="40" xfId="0" applyNumberFormat="1" applyFont="1" applyFill="1" applyBorder="1"/>
    <xf numFmtId="0" fontId="1" fillId="5" borderId="23" xfId="0" applyFont="1" applyFill="1" applyBorder="1" applyAlignment="1">
      <alignment horizontal="left"/>
    </xf>
    <xf numFmtId="2" fontId="1" fillId="8" borderId="1" xfId="0" applyNumberFormat="1" applyFont="1" applyFill="1" applyBorder="1"/>
    <xf numFmtId="0" fontId="1" fillId="8" borderId="1" xfId="0" applyFont="1" applyFill="1" applyBorder="1"/>
    <xf numFmtId="0" fontId="1" fillId="2" borderId="1" xfId="0" applyFont="1" applyFill="1" applyBorder="1" applyAlignment="1">
      <alignment horizontal="right"/>
    </xf>
    <xf numFmtId="0" fontId="1" fillId="2" borderId="1" xfId="0" applyFont="1" applyFill="1" applyBorder="1" applyAlignment="1">
      <alignment wrapText="1"/>
    </xf>
    <xf numFmtId="2" fontId="1" fillId="2" borderId="1" xfId="0" applyNumberFormat="1" applyFont="1" applyFill="1" applyBorder="1"/>
    <xf numFmtId="0" fontId="1" fillId="2" borderId="1" xfId="0" applyFont="1" applyFill="1" applyBorder="1"/>
    <xf numFmtId="0" fontId="1" fillId="2" borderId="5" xfId="0" applyFont="1" applyFill="1" applyBorder="1"/>
    <xf numFmtId="164" fontId="0" fillId="8" borderId="14" xfId="0" applyNumberFormat="1" applyFill="1" applyBorder="1"/>
    <xf numFmtId="0" fontId="1" fillId="8" borderId="42" xfId="0" applyFont="1" applyFill="1" applyBorder="1"/>
    <xf numFmtId="164" fontId="1" fillId="2" borderId="41" xfId="0" applyNumberFormat="1" applyFont="1" applyFill="1" applyBorder="1"/>
    <xf numFmtId="0" fontId="1" fillId="2" borderId="42" xfId="0" applyFont="1" applyFill="1" applyBorder="1"/>
    <xf numFmtId="164" fontId="1" fillId="2" borderId="12" xfId="0" applyNumberFormat="1" applyFont="1" applyFill="1" applyBorder="1"/>
    <xf numFmtId="2" fontId="1" fillId="2" borderId="13" xfId="0" applyNumberFormat="1" applyFont="1" applyFill="1" applyBorder="1"/>
    <xf numFmtId="0" fontId="1" fillId="2" borderId="13" xfId="0" applyFont="1" applyFill="1" applyBorder="1"/>
    <xf numFmtId="164" fontId="0" fillId="2" borderId="14" xfId="0" applyNumberFormat="1" applyFill="1" applyBorder="1"/>
    <xf numFmtId="164" fontId="8" fillId="10" borderId="14" xfId="0" applyNumberFormat="1" applyFont="1" applyFill="1" applyBorder="1"/>
    <xf numFmtId="164" fontId="7" fillId="10" borderId="14" xfId="0" applyNumberFormat="1" applyFont="1" applyFill="1" applyBorder="1"/>
    <xf numFmtId="0" fontId="7" fillId="10" borderId="26" xfId="0" applyFont="1" applyFill="1" applyBorder="1"/>
    <xf numFmtId="0" fontId="7" fillId="10" borderId="44" xfId="0" applyFont="1" applyFill="1" applyBorder="1"/>
    <xf numFmtId="164" fontId="7" fillId="10" borderId="45" xfId="0" applyNumberFormat="1" applyFont="1" applyFill="1" applyBorder="1"/>
    <xf numFmtId="0" fontId="7" fillId="9" borderId="23" xfId="0" applyFont="1" applyFill="1" applyBorder="1"/>
    <xf numFmtId="0" fontId="8" fillId="10" borderId="0" xfId="0" applyFont="1" applyFill="1"/>
    <xf numFmtId="0" fontId="8" fillId="10" borderId="38" xfId="0" applyFont="1" applyFill="1" applyBorder="1"/>
    <xf numFmtId="164" fontId="8" fillId="9" borderId="14" xfId="0" applyNumberFormat="1" applyFont="1" applyFill="1" applyBorder="1"/>
    <xf numFmtId="0" fontId="7" fillId="9" borderId="46" xfId="0" applyFont="1" applyFill="1" applyBorder="1" applyAlignment="1">
      <alignment horizontal="right"/>
    </xf>
    <xf numFmtId="0" fontId="7" fillId="9" borderId="46" xfId="0" applyFont="1" applyFill="1" applyBorder="1" applyAlignment="1">
      <alignment wrapText="1"/>
    </xf>
    <xf numFmtId="164" fontId="7" fillId="9" borderId="14" xfId="0" applyNumberFormat="1" applyFont="1" applyFill="1" applyBorder="1"/>
    <xf numFmtId="0" fontId="7" fillId="9" borderId="26" xfId="0" applyFont="1" applyFill="1" applyBorder="1"/>
    <xf numFmtId="164" fontId="7" fillId="9" borderId="20" xfId="0" applyNumberFormat="1" applyFont="1" applyFill="1" applyBorder="1"/>
    <xf numFmtId="0" fontId="7" fillId="9" borderId="34" xfId="0" applyFont="1" applyFill="1" applyBorder="1"/>
    <xf numFmtId="2" fontId="2" fillId="5" borderId="20" xfId="0" applyNumberFormat="1" applyFont="1" applyFill="1" applyBorder="1" applyAlignment="1">
      <alignment horizontal="right"/>
    </xf>
    <xf numFmtId="0" fontId="1" fillId="8" borderId="6" xfId="0" applyFont="1" applyFill="1" applyBorder="1"/>
    <xf numFmtId="0" fontId="2" fillId="8" borderId="4" xfId="0" applyFont="1" applyFill="1" applyBorder="1"/>
    <xf numFmtId="0" fontId="0" fillId="8" borderId="6" xfId="0" applyFill="1" applyBorder="1"/>
    <xf numFmtId="0" fontId="1" fillId="8" borderId="3" xfId="0" applyFont="1" applyFill="1" applyBorder="1" applyAlignment="1">
      <alignment horizontal="right" wrapText="1"/>
    </xf>
    <xf numFmtId="0" fontId="1" fillId="8" borderId="19" xfId="0" applyFont="1" applyFill="1" applyBorder="1" applyAlignment="1">
      <alignment horizontal="right" wrapText="1"/>
    </xf>
    <xf numFmtId="0" fontId="1" fillId="2" borderId="42" xfId="0" applyFont="1" applyFill="1" applyBorder="1" applyAlignment="1">
      <alignment horizontal="right" wrapText="1"/>
    </xf>
    <xf numFmtId="0" fontId="7" fillId="10" borderId="26" xfId="0" applyFont="1" applyFill="1" applyBorder="1" applyAlignment="1">
      <alignment horizontal="left" wrapText="1"/>
    </xf>
    <xf numFmtId="0" fontId="4" fillId="2" borderId="6" xfId="0" applyFont="1" applyFill="1" applyBorder="1" applyAlignment="1">
      <alignment horizontal="right"/>
    </xf>
    <xf numFmtId="0" fontId="0" fillId="2" borderId="6" xfId="0" applyFill="1" applyBorder="1"/>
    <xf numFmtId="0" fontId="4" fillId="8" borderId="23" xfId="0" applyFont="1" applyFill="1" applyBorder="1"/>
    <xf numFmtId="2" fontId="4" fillId="8" borderId="23" xfId="0" applyNumberFormat="1" applyFont="1" applyFill="1" applyBorder="1"/>
    <xf numFmtId="0" fontId="4" fillId="2" borderId="47" xfId="0" applyFont="1" applyFill="1" applyBorder="1"/>
    <xf numFmtId="2" fontId="4" fillId="2" borderId="23" xfId="0" applyNumberFormat="1" applyFont="1" applyFill="1" applyBorder="1"/>
    <xf numFmtId="0" fontId="2" fillId="2" borderId="4" xfId="0" applyFont="1" applyFill="1" applyBorder="1"/>
    <xf numFmtId="0" fontId="2" fillId="2" borderId="5" xfId="0" applyFont="1" applyFill="1" applyBorder="1"/>
    <xf numFmtId="0" fontId="2" fillId="2" borderId="6" xfId="0" applyFont="1" applyFill="1" applyBorder="1"/>
    <xf numFmtId="0" fontId="1" fillId="2" borderId="47" xfId="0" applyFont="1" applyFill="1" applyBorder="1"/>
    <xf numFmtId="0" fontId="1" fillId="2" borderId="23" xfId="0" applyFont="1" applyFill="1" applyBorder="1" applyAlignment="1">
      <alignment horizontal="right"/>
    </xf>
    <xf numFmtId="0" fontId="1" fillId="2" borderId="6" xfId="0" applyFont="1" applyFill="1" applyBorder="1" applyAlignment="1">
      <alignment horizontal="right"/>
    </xf>
    <xf numFmtId="0" fontId="1" fillId="8" borderId="1" xfId="0" applyFont="1" applyFill="1" applyBorder="1" applyAlignment="1">
      <alignment horizontal="right"/>
    </xf>
    <xf numFmtId="2" fontId="0" fillId="0" borderId="0" xfId="0" applyNumberFormat="1"/>
    <xf numFmtId="0" fontId="10" fillId="8" borderId="23" xfId="0" applyFont="1" applyFill="1" applyBorder="1"/>
    <xf numFmtId="0" fontId="1" fillId="8" borderId="23" xfId="0" applyFont="1" applyFill="1" applyBorder="1"/>
    <xf numFmtId="0" fontId="2" fillId="8" borderId="23" xfId="0" applyFont="1" applyFill="1" applyBorder="1"/>
    <xf numFmtId="0" fontId="2" fillId="8" borderId="5" xfId="0" applyFont="1" applyFill="1" applyBorder="1"/>
    <xf numFmtId="0" fontId="4" fillId="2" borderId="5" xfId="0" applyFont="1" applyFill="1" applyBorder="1"/>
    <xf numFmtId="0" fontId="0" fillId="8" borderId="28" xfId="0" applyFill="1" applyBorder="1"/>
    <xf numFmtId="0" fontId="0" fillId="8" borderId="48" xfId="0" applyFill="1" applyBorder="1"/>
    <xf numFmtId="0" fontId="9" fillId="8" borderId="47" xfId="0" applyFont="1" applyFill="1" applyBorder="1"/>
    <xf numFmtId="0" fontId="2" fillId="8" borderId="1" xfId="0" applyFont="1" applyFill="1" applyBorder="1"/>
    <xf numFmtId="0" fontId="2" fillId="8" borderId="23" xfId="0" applyFont="1" applyFill="1" applyBorder="1" applyAlignment="1">
      <alignment horizontal="right"/>
    </xf>
    <xf numFmtId="0" fontId="2" fillId="8" borderId="50" xfId="0" applyFont="1" applyFill="1" applyBorder="1" applyAlignment="1">
      <alignment horizontal="right"/>
    </xf>
    <xf numFmtId="0" fontId="2" fillId="2" borderId="49" xfId="0" applyFont="1" applyFill="1" applyBorder="1"/>
    <xf numFmtId="0" fontId="2" fillId="2" borderId="23" xfId="0" applyFont="1" applyFill="1" applyBorder="1" applyAlignment="1">
      <alignment horizontal="right"/>
    </xf>
    <xf numFmtId="0" fontId="2" fillId="2" borderId="1" xfId="0" applyFont="1" applyFill="1" applyBorder="1"/>
    <xf numFmtId="0" fontId="2" fillId="2" borderId="13" xfId="0" applyFont="1" applyFill="1" applyBorder="1"/>
    <xf numFmtId="0" fontId="2" fillId="8" borderId="33" xfId="0" applyFont="1" applyFill="1" applyBorder="1" applyAlignment="1">
      <alignment horizontal="right"/>
    </xf>
    <xf numFmtId="0" fontId="2" fillId="8" borderId="46" xfId="0" applyFont="1" applyFill="1" applyBorder="1"/>
    <xf numFmtId="0" fontId="2" fillId="8" borderId="51" xfId="0" applyFont="1" applyFill="1" applyBorder="1"/>
    <xf numFmtId="0" fontId="2" fillId="8" borderId="48" xfId="0" applyFont="1" applyFill="1" applyBorder="1"/>
    <xf numFmtId="0" fontId="2" fillId="8" borderId="47" xfId="0" applyFont="1" applyFill="1" applyBorder="1"/>
    <xf numFmtId="0" fontId="2" fillId="2" borderId="48" xfId="0" applyFont="1" applyFill="1" applyBorder="1"/>
    <xf numFmtId="0" fontId="2" fillId="2" borderId="47" xfId="0" applyFont="1" applyFill="1" applyBorder="1"/>
    <xf numFmtId="0" fontId="2" fillId="2" borderId="10" xfId="0" applyFont="1" applyFill="1" applyBorder="1"/>
    <xf numFmtId="0" fontId="2" fillId="2" borderId="23" xfId="0" applyFont="1" applyFill="1" applyBorder="1"/>
    <xf numFmtId="0" fontId="2" fillId="2" borderId="40" xfId="0" applyFont="1" applyFill="1" applyBorder="1" applyAlignment="1">
      <alignment horizontal="right"/>
    </xf>
    <xf numFmtId="0" fontId="2" fillId="2" borderId="10" xfId="0" applyFont="1" applyFill="1" applyBorder="1" applyAlignment="1">
      <alignment horizontal="right"/>
    </xf>
    <xf numFmtId="0" fontId="2" fillId="2" borderId="16" xfId="0" applyFont="1" applyFill="1" applyBorder="1"/>
    <xf numFmtId="0" fontId="2" fillId="2" borderId="41" xfId="0" applyFont="1" applyFill="1" applyBorder="1"/>
    <xf numFmtId="0" fontId="2" fillId="2" borderId="12" xfId="0" applyFont="1" applyFill="1" applyBorder="1"/>
    <xf numFmtId="2" fontId="2" fillId="2" borderId="17" xfId="0" applyNumberFormat="1" applyFont="1" applyFill="1" applyBorder="1"/>
    <xf numFmtId="2" fontId="2" fillId="2" borderId="19" xfId="0" applyNumberFormat="1" applyFont="1" applyFill="1" applyBorder="1"/>
    <xf numFmtId="2" fontId="2" fillId="2" borderId="21" xfId="0" applyNumberFormat="1" applyFont="1" applyFill="1" applyBorder="1"/>
    <xf numFmtId="0" fontId="0" fillId="0" borderId="0" xfId="0" applyBorder="1"/>
    <xf numFmtId="0" fontId="0" fillId="2" borderId="35" xfId="0" applyFill="1" applyBorder="1"/>
    <xf numFmtId="0" fontId="0" fillId="2" borderId="36" xfId="0" applyFill="1" applyBorder="1"/>
    <xf numFmtId="0" fontId="2" fillId="8" borderId="31" xfId="0" applyFont="1" applyFill="1" applyBorder="1"/>
    <xf numFmtId="0" fontId="2" fillId="8" borderId="21" xfId="0" applyFont="1" applyFill="1" applyBorder="1"/>
    <xf numFmtId="0" fontId="2" fillId="8" borderId="27" xfId="0" applyFont="1" applyFill="1" applyBorder="1"/>
    <xf numFmtId="0" fontId="2" fillId="8" borderId="13" xfId="0" applyFont="1" applyFill="1" applyBorder="1"/>
    <xf numFmtId="0" fontId="0" fillId="2" borderId="32" xfId="0" applyFill="1" applyBorder="1"/>
    <xf numFmtId="0" fontId="0" fillId="2" borderId="39" xfId="0" applyFill="1" applyBorder="1"/>
    <xf numFmtId="0" fontId="0" fillId="8" borderId="0" xfId="0" applyFill="1"/>
    <xf numFmtId="2" fontId="4" fillId="2" borderId="28" xfId="0" applyNumberFormat="1" applyFont="1" applyFill="1" applyBorder="1"/>
    <xf numFmtId="0" fontId="2" fillId="2" borderId="18" xfId="0" applyFont="1" applyFill="1" applyBorder="1"/>
    <xf numFmtId="0" fontId="2" fillId="2" borderId="29" xfId="0" applyFont="1" applyFill="1" applyBorder="1"/>
    <xf numFmtId="2" fontId="2" fillId="2" borderId="22" xfId="0" applyNumberFormat="1" applyFont="1" applyFill="1" applyBorder="1"/>
    <xf numFmtId="0" fontId="2" fillId="2" borderId="31" xfId="0" applyFont="1" applyFill="1" applyBorder="1"/>
    <xf numFmtId="0" fontId="2" fillId="2" borderId="21" xfId="0" applyFont="1" applyFill="1" applyBorder="1"/>
    <xf numFmtId="2" fontId="4" fillId="2" borderId="47" xfId="0" applyNumberFormat="1" applyFont="1" applyFill="1" applyBorder="1"/>
    <xf numFmtId="0" fontId="0" fillId="2" borderId="52" xfId="0" applyFill="1" applyBorder="1"/>
    <xf numFmtId="0" fontId="2" fillId="2" borderId="28" xfId="0" applyFont="1" applyFill="1" applyBorder="1"/>
    <xf numFmtId="0" fontId="0" fillId="2" borderId="31" xfId="0" applyFill="1" applyBorder="1"/>
    <xf numFmtId="0" fontId="1" fillId="8" borderId="14" xfId="0" applyFont="1" applyFill="1" applyBorder="1" applyAlignment="1">
      <alignment horizontal="right"/>
    </xf>
    <xf numFmtId="0" fontId="1" fillId="8" borderId="42" xfId="0" applyFont="1" applyFill="1" applyBorder="1" applyAlignment="1">
      <alignment horizontal="right"/>
    </xf>
    <xf numFmtId="0" fontId="4" fillId="2" borderId="14" xfId="0" applyFont="1" applyFill="1" applyBorder="1" applyAlignment="1">
      <alignment horizontal="right" wrapText="1"/>
    </xf>
    <xf numFmtId="0" fontId="4" fillId="8" borderId="42" xfId="0" applyFont="1" applyFill="1" applyBorder="1"/>
    <xf numFmtId="0" fontId="0" fillId="8" borderId="41" xfId="0" applyFill="1" applyBorder="1"/>
    <xf numFmtId="0" fontId="0" fillId="0" borderId="38" xfId="0" applyBorder="1"/>
    <xf numFmtId="0" fontId="0" fillId="0" borderId="37" xfId="0" applyBorder="1"/>
    <xf numFmtId="0" fontId="0" fillId="8" borderId="12" xfId="0" applyFill="1" applyBorder="1"/>
    <xf numFmtId="0" fontId="11" fillId="8" borderId="5" xfId="0" applyFont="1" applyFill="1" applyBorder="1"/>
    <xf numFmtId="0" fontId="11" fillId="8" borderId="6" xfId="0" applyFont="1" applyFill="1" applyBorder="1"/>
    <xf numFmtId="0" fontId="4" fillId="8" borderId="4" xfId="0" applyFont="1" applyFill="1" applyBorder="1"/>
    <xf numFmtId="0" fontId="4" fillId="8" borderId="6" xfId="0" applyFont="1" applyFill="1" applyBorder="1"/>
    <xf numFmtId="2" fontId="2" fillId="8" borderId="0" xfId="0" applyNumberFormat="1" applyFont="1" applyFill="1" applyBorder="1"/>
    <xf numFmtId="2" fontId="2" fillId="8" borderId="11" xfId="0" applyNumberFormat="1" applyFont="1" applyFill="1" applyBorder="1"/>
    <xf numFmtId="2" fontId="2" fillId="8" borderId="17" xfId="0" applyNumberFormat="1" applyFont="1" applyFill="1" applyBorder="1"/>
    <xf numFmtId="0" fontId="6" fillId="4" borderId="23" xfId="0" applyFont="1" applyFill="1" applyBorder="1" applyAlignment="1">
      <alignment horizontal="right"/>
    </xf>
    <xf numFmtId="0" fontId="4" fillId="2" borderId="6" xfId="0" applyFont="1" applyFill="1" applyBorder="1"/>
    <xf numFmtId="0" fontId="2" fillId="3" borderId="6" xfId="0" applyFont="1" applyFill="1" applyBorder="1" applyProtection="1">
      <protection locked="0"/>
    </xf>
    <xf numFmtId="2" fontId="4" fillId="3" borderId="15" xfId="0" applyNumberFormat="1" applyFont="1" applyFill="1" applyBorder="1" applyAlignment="1">
      <alignment horizontal="right"/>
    </xf>
    <xf numFmtId="0" fontId="4" fillId="5" borderId="3" xfId="0" applyFont="1" applyFill="1" applyBorder="1" applyAlignment="1">
      <alignment horizontal="right" wrapText="1"/>
    </xf>
    <xf numFmtId="0" fontId="2" fillId="5" borderId="4" xfId="0" applyFont="1" applyFill="1" applyBorder="1"/>
    <xf numFmtId="0" fontId="0" fillId="5" borderId="6" xfId="0" applyFill="1" applyBorder="1"/>
    <xf numFmtId="0" fontId="4" fillId="2" borderId="9" xfId="0" applyFont="1" applyFill="1" applyBorder="1" applyAlignment="1">
      <alignment horizontal="right" wrapText="1"/>
    </xf>
    <xf numFmtId="2" fontId="4" fillId="5" borderId="39" xfId="0" applyNumberFormat="1" applyFont="1" applyFill="1" applyBorder="1"/>
    <xf numFmtId="0" fontId="10" fillId="5" borderId="6" xfId="0" applyFont="1" applyFill="1" applyBorder="1"/>
    <xf numFmtId="164" fontId="1" fillId="8" borderId="41" xfId="0" applyNumberFormat="1" applyFont="1" applyFill="1" applyBorder="1"/>
    <xf numFmtId="164" fontId="1" fillId="8" borderId="43" xfId="0" applyNumberFormat="1" applyFont="1" applyFill="1" applyBorder="1"/>
    <xf numFmtId="0" fontId="10" fillId="8" borderId="1" xfId="0" applyFont="1" applyFill="1" applyBorder="1"/>
    <xf numFmtId="0" fontId="1" fillId="8" borderId="46" xfId="0" applyFont="1" applyFill="1" applyBorder="1" applyAlignment="1">
      <alignment horizontal="right"/>
    </xf>
    <xf numFmtId="0" fontId="1" fillId="8" borderId="46" xfId="0" applyFont="1" applyFill="1" applyBorder="1"/>
    <xf numFmtId="0" fontId="4" fillId="2" borderId="19" xfId="0" applyFont="1" applyFill="1" applyBorder="1" applyAlignment="1">
      <alignment horizontal="right" wrapText="1"/>
    </xf>
    <xf numFmtId="0" fontId="1" fillId="8" borderId="15" xfId="0" applyFont="1" applyFill="1" applyBorder="1"/>
    <xf numFmtId="0" fontId="1" fillId="8" borderId="23" xfId="0" applyFont="1" applyFill="1" applyBorder="1" applyAlignment="1">
      <alignment wrapText="1"/>
    </xf>
    <xf numFmtId="0" fontId="1" fillId="8" borderId="5" xfId="0" applyFont="1" applyFill="1" applyBorder="1"/>
    <xf numFmtId="164" fontId="1" fillId="8" borderId="1" xfId="0" applyNumberFormat="1" applyFont="1" applyFill="1" applyBorder="1"/>
    <xf numFmtId="0" fontId="2" fillId="0" borderId="0" xfId="0" applyFont="1"/>
    <xf numFmtId="0" fontId="0" fillId="0" borderId="52" xfId="0" applyBorder="1"/>
    <xf numFmtId="0" fontId="6" fillId="8" borderId="4" xfId="0" applyFont="1" applyFill="1" applyBorder="1"/>
    <xf numFmtId="0" fontId="6" fillId="8" borderId="5" xfId="0" applyFont="1" applyFill="1" applyBorder="1"/>
    <xf numFmtId="0" fontId="6" fillId="8" borderId="6" xfId="0" applyFont="1" applyFill="1" applyBorder="1"/>
    <xf numFmtId="0" fontId="2" fillId="8" borderId="35" xfId="0" applyFont="1" applyFill="1" applyBorder="1"/>
    <xf numFmtId="0" fontId="1" fillId="8" borderId="23" xfId="0" applyFont="1" applyFill="1" applyBorder="1" applyAlignment="1">
      <alignment horizontal="right"/>
    </xf>
    <xf numFmtId="0" fontId="2" fillId="8" borderId="51" xfId="0" applyFont="1" applyFill="1" applyBorder="1" applyAlignment="1">
      <alignment horizontal="right"/>
    </xf>
    <xf numFmtId="0" fontId="0" fillId="8" borderId="23" xfId="0" applyFill="1" applyBorder="1"/>
    <xf numFmtId="0" fontId="0" fillId="8" borderId="4" xfId="0" applyFill="1" applyBorder="1"/>
    <xf numFmtId="0" fontId="13" fillId="11" borderId="23" xfId="0" applyFont="1" applyFill="1" applyBorder="1" applyProtection="1">
      <protection locked="0"/>
    </xf>
    <xf numFmtId="0" fontId="13" fillId="11" borderId="4" xfId="0" applyFont="1" applyFill="1" applyBorder="1" applyProtection="1">
      <protection locked="0"/>
    </xf>
    <xf numFmtId="0" fontId="13" fillId="11" borderId="1" xfId="0" applyFont="1" applyFill="1" applyBorder="1" applyProtection="1">
      <protection locked="0"/>
    </xf>
    <xf numFmtId="0" fontId="1" fillId="7" borderId="35" xfId="0" applyFont="1" applyFill="1" applyBorder="1"/>
    <xf numFmtId="0" fontId="1" fillId="7" borderId="36" xfId="0" applyFont="1" applyFill="1" applyBorder="1"/>
    <xf numFmtId="0" fontId="4" fillId="5" borderId="47" xfId="0" applyFont="1" applyFill="1" applyBorder="1" applyAlignment="1">
      <alignment horizontal="right" wrapText="1"/>
    </xf>
    <xf numFmtId="0" fontId="4" fillId="5" borderId="4" xfId="0" applyFont="1" applyFill="1" applyBorder="1"/>
    <xf numFmtId="0" fontId="2" fillId="5" borderId="31" xfId="0" applyFont="1" applyFill="1" applyBorder="1"/>
    <xf numFmtId="0" fontId="2" fillId="5" borderId="23" xfId="0" applyFont="1" applyFill="1" applyBorder="1"/>
    <xf numFmtId="0" fontId="2" fillId="7" borderId="4" xfId="0" applyFont="1" applyFill="1" applyBorder="1"/>
    <xf numFmtId="0" fontId="2" fillId="7" borderId="6" xfId="0" applyFont="1" applyFill="1" applyBorder="1"/>
    <xf numFmtId="2" fontId="13" fillId="11" borderId="9" xfId="0" applyNumberFormat="1" applyFont="1" applyFill="1" applyBorder="1" applyProtection="1">
      <protection locked="0"/>
    </xf>
    <xf numFmtId="0" fontId="1" fillId="8" borderId="31" xfId="0" applyFont="1" applyFill="1" applyBorder="1"/>
    <xf numFmtId="0" fontId="1" fillId="8" borderId="39" xfId="0" applyFont="1" applyFill="1" applyBorder="1"/>
    <xf numFmtId="0" fontId="0" fillId="8" borderId="5" xfId="0" applyFill="1" applyBorder="1"/>
    <xf numFmtId="0" fontId="4" fillId="8" borderId="23" xfId="0" applyFont="1" applyFill="1" applyBorder="1" applyAlignment="1">
      <alignment horizontal="right"/>
    </xf>
    <xf numFmtId="2" fontId="2" fillId="5" borderId="10" xfId="0" applyNumberFormat="1" applyFont="1" applyFill="1" applyBorder="1" applyAlignment="1">
      <alignment horizontal="right"/>
    </xf>
    <xf numFmtId="0" fontId="13" fillId="11" borderId="13" xfId="0" applyFont="1" applyFill="1" applyBorder="1" applyProtection="1">
      <protection locked="0"/>
    </xf>
    <xf numFmtId="0" fontId="15" fillId="8" borderId="4" xfId="0" applyFont="1" applyFill="1" applyBorder="1"/>
    <xf numFmtId="0" fontId="15" fillId="8" borderId="5" xfId="0" applyFont="1" applyFill="1" applyBorder="1"/>
    <xf numFmtId="0" fontId="15" fillId="8" borderId="35" xfId="0" applyFont="1" applyFill="1" applyBorder="1"/>
    <xf numFmtId="0" fontId="15" fillId="8" borderId="36" xfId="0" applyFont="1" applyFill="1" applyBorder="1"/>
    <xf numFmtId="0" fontId="16" fillId="8" borderId="5" xfId="0" applyFont="1" applyFill="1" applyBorder="1"/>
    <xf numFmtId="0" fontId="16" fillId="8" borderId="6" xfId="0" applyFont="1" applyFill="1" applyBorder="1"/>
    <xf numFmtId="0" fontId="1" fillId="2" borderId="32" xfId="0" applyFont="1" applyFill="1" applyBorder="1"/>
    <xf numFmtId="0" fontId="14" fillId="9" borderId="31" xfId="0" applyFont="1" applyFill="1" applyBorder="1"/>
    <xf numFmtId="0" fontId="7" fillId="9" borderId="32" xfId="0" applyFont="1" applyFill="1" applyBorder="1"/>
    <xf numFmtId="0" fontId="7" fillId="9" borderId="39" xfId="0" applyFont="1" applyFill="1" applyBorder="1"/>
    <xf numFmtId="0" fontId="17" fillId="8" borderId="4" xfId="0" applyFont="1" applyFill="1" applyBorder="1"/>
    <xf numFmtId="2" fontId="10" fillId="8" borderId="23" xfId="0" applyNumberFormat="1" applyFont="1" applyFill="1" applyBorder="1"/>
    <xf numFmtId="2" fontId="10" fillId="2" borderId="23" xfId="0" applyNumberFormat="1" applyFont="1" applyFill="1" applyBorder="1"/>
    <xf numFmtId="0" fontId="10" fillId="8" borderId="32" xfId="0" applyFont="1" applyFill="1" applyBorder="1"/>
    <xf numFmtId="2" fontId="2" fillId="3" borderId="53" xfId="0" applyNumberFormat="1" applyFont="1" applyFill="1" applyBorder="1"/>
    <xf numFmtId="0" fontId="4" fillId="2" borderId="9" xfId="0" applyFont="1" applyFill="1" applyBorder="1" applyAlignment="1">
      <alignment horizontal="center" wrapText="1"/>
    </xf>
    <xf numFmtId="2" fontId="2" fillId="3" borderId="1" xfId="0" applyNumberFormat="1" applyFont="1" applyFill="1" applyBorder="1" applyAlignment="1"/>
    <xf numFmtId="0" fontId="2" fillId="8" borderId="1" xfId="0" applyFont="1" applyFill="1" applyBorder="1" applyAlignment="1">
      <alignment wrapText="1"/>
    </xf>
    <xf numFmtId="2" fontId="18" fillId="8" borderId="1" xfId="0" applyNumberFormat="1" applyFont="1" applyFill="1" applyBorder="1" applyAlignment="1">
      <alignment wrapText="1"/>
    </xf>
    <xf numFmtId="0" fontId="2" fillId="8" borderId="49" xfId="0" applyFont="1" applyFill="1" applyBorder="1" applyAlignment="1">
      <alignment wrapText="1"/>
    </xf>
    <xf numFmtId="0" fontId="2" fillId="8" borderId="16" xfId="0" applyFont="1" applyFill="1" applyBorder="1" applyAlignment="1">
      <alignment wrapText="1"/>
    </xf>
    <xf numFmtId="0" fontId="2" fillId="8" borderId="17" xfId="0" applyFont="1" applyFill="1" applyBorder="1" applyAlignment="1">
      <alignment wrapText="1"/>
    </xf>
    <xf numFmtId="0" fontId="2" fillId="8" borderId="41" xfId="0" applyFont="1" applyFill="1" applyBorder="1" applyAlignment="1">
      <alignment wrapText="1"/>
    </xf>
    <xf numFmtId="0" fontId="2" fillId="8" borderId="42" xfId="0" applyFont="1" applyFill="1" applyBorder="1" applyAlignment="1">
      <alignment wrapText="1"/>
    </xf>
    <xf numFmtId="2" fontId="18" fillId="8" borderId="42" xfId="0" applyNumberFormat="1" applyFont="1" applyFill="1" applyBorder="1" applyAlignment="1">
      <alignment wrapText="1"/>
    </xf>
    <xf numFmtId="0" fontId="2" fillId="8" borderId="12" xfId="0" applyFont="1" applyFill="1" applyBorder="1" applyAlignment="1">
      <alignment wrapText="1"/>
    </xf>
    <xf numFmtId="0" fontId="2" fillId="8" borderId="13" xfId="0" applyFont="1" applyFill="1" applyBorder="1" applyAlignment="1">
      <alignment wrapText="1"/>
    </xf>
    <xf numFmtId="2" fontId="18" fillId="8" borderId="13" xfId="0" applyNumberFormat="1" applyFont="1" applyFill="1" applyBorder="1" applyAlignment="1">
      <alignment wrapText="1"/>
    </xf>
    <xf numFmtId="2" fontId="18" fillId="8" borderId="15" xfId="0" applyNumberFormat="1" applyFont="1" applyFill="1" applyBorder="1" applyAlignment="1">
      <alignment wrapText="1"/>
    </xf>
    <xf numFmtId="0" fontId="4" fillId="7" borderId="51" xfId="0" applyFont="1" applyFill="1" applyBorder="1" applyAlignment="1">
      <alignment horizontal="right" wrapText="1"/>
    </xf>
    <xf numFmtId="2" fontId="2" fillId="7" borderId="54" xfId="0" applyNumberFormat="1" applyFont="1" applyFill="1" applyBorder="1"/>
    <xf numFmtId="0" fontId="1" fillId="8" borderId="1" xfId="0" applyFont="1" applyFill="1" applyBorder="1" applyAlignment="1">
      <alignment horizontal="righ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25400</xdr:colOff>
      <xdr:row>0</xdr:row>
      <xdr:rowOff>88900</xdr:rowOff>
    </xdr:from>
    <xdr:to>
      <xdr:col>28</xdr:col>
      <xdr:colOff>203200</xdr:colOff>
      <xdr:row>62</xdr:row>
      <xdr:rowOff>25400</xdr:rowOff>
    </xdr:to>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0B985DAD-D368-E942-9C12-0FB17EA66E57}"/>
                </a:ext>
              </a:extLst>
            </xdr:cNvPr>
            <xdr:cNvSpPr txBox="1"/>
          </xdr:nvSpPr>
          <xdr:spPr>
            <a:xfrm>
              <a:off x="25400" y="88900"/>
              <a:ext cx="23291800" cy="12534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INTRODUCTION</a:t>
              </a:r>
            </a:p>
            <a:p>
              <a:endParaRPr lang="en-US" sz="1600" b="0"/>
            </a:p>
            <a:p>
              <a:r>
                <a:rPr lang="en-US" sz="1600" b="0"/>
                <a:t>This Excel workbook contains</a:t>
              </a:r>
              <a:r>
                <a:rPr lang="en-US" sz="1600" b="0" baseline="0"/>
                <a:t> an analysis of a stand of 76 white pines in Mohawk Trail State Forest (MTSF), Charlemont, MA named the </a:t>
              </a:r>
              <a:r>
                <a:rPr lang="en-US" sz="1600" b="1" i="1" baseline="0"/>
                <a:t>Trees of Peace</a:t>
              </a:r>
              <a:r>
                <a:rPr lang="en-US" sz="1600" b="0" baseline="0"/>
                <a:t>. The analysis seeks to detemine the amount of carbon in the standing live pines at their present age of approximately 150 years along with the amount of carbon they would likely have held at a stand age of 50 years. This is accomplished by measuring the DBH and height of each of the 76  trees and computing its volume through a method developed by the Native Tree society (NTS). A second method of determining individual tree volume utilizes an FIA-based model. From each of these sets of volume determinations, a total volume is computed along with the associated  amount of carbon represented by the volumes. Next a projection is made of the amount of carbon in each standing tree that would have been present at age 50. To this a second projection is made of how many trees were standing at age 50 and their respective sizes. This allows the total amount of carbon to be estimated for the trees that were alive at age 50.  This total 50-year amount can then be compared to that present today and the difference noted. Finally, we conider three rotations of the live pines at age 50 along with the percentage of carbon that would likely remain today out of each of the rotations. This allows us to compare the amount of carbon in the living trees today compared to what would remain from three rotations of the stand at age 50. The methodology used to make these comparions is explained below. The process is parameter driven so that when a key assumption is changed, the effect trickles through the </a:t>
              </a:r>
              <a:r>
                <a:rPr lang="en-US" sz="1600" b="1" baseline="0"/>
                <a:t>Main</a:t>
              </a:r>
              <a:r>
                <a:rPr lang="en-US" sz="1600" b="0" baseline="0"/>
                <a:t> and </a:t>
              </a:r>
              <a:r>
                <a:rPr lang="en-US" sz="1600" b="1" baseline="0"/>
                <a:t>Carbon Summaries</a:t>
              </a:r>
              <a:r>
                <a:rPr lang="en-US" sz="1600" b="0" baseline="0"/>
                <a:t> spreadsheets. This allows "what if" scenarios to be entertained. The value of this approach is that it allows us to follow a particular stand of pines as opposed to applying broad averages that may disguise the performance in particular stands. It is also important to point out that this model applies to stands of trees comprised of the same species such as pine or spruce. Stand development likely began in an open field.</a:t>
              </a:r>
            </a:p>
            <a:p>
              <a:endParaRPr lang="en-US" sz="1600" b="0" baseline="0"/>
            </a:p>
            <a:p>
              <a:r>
                <a:rPr lang="en-US" sz="1600" b="1" baseline="0"/>
                <a:t>METHODOLOGY</a:t>
              </a:r>
            </a:p>
            <a:p>
              <a:endParaRPr lang="en-US" sz="1600" b="0" baseline="0"/>
            </a:p>
            <a:p>
              <a:r>
                <a:rPr lang="en-US" sz="1600" b="0" baseline="0"/>
                <a:t>1. The </a:t>
              </a:r>
              <a:r>
                <a:rPr lang="en-US" sz="1600" b="1" baseline="0"/>
                <a:t>Main</a:t>
              </a:r>
              <a:r>
                <a:rPr lang="en-US" sz="1600" b="0" baseline="0"/>
                <a:t> worksheet contains measurements of 76 white pines in MTSF that comprise an area called the </a:t>
              </a:r>
              <a:r>
                <a:rPr lang="en-US" sz="1600" b="1" i="1" baseline="0"/>
                <a:t>Trees of Peace</a:t>
              </a:r>
              <a:r>
                <a:rPr lang="en-US" sz="1600" b="0" baseline="0"/>
                <a:t>.  Cells </a:t>
              </a:r>
              <a:r>
                <a:rPr lang="en-US" sz="1600" b="0" baseline="0">
                  <a:solidFill>
                    <a:srgbClr val="FF0000"/>
                  </a:solidFill>
                </a:rPr>
                <a:t>A2:F81 </a:t>
              </a:r>
              <a:r>
                <a:rPr lang="en-US" sz="1600" b="0" baseline="0"/>
                <a:t>contain the computations of the trunk and limb volumes using  methods developed by the Native Tree Society (NTS). Cells </a:t>
              </a:r>
              <a:r>
                <a:rPr lang="en-US" sz="1600" b="0" baseline="0">
                  <a:solidFill>
                    <a:srgbClr val="FF0000"/>
                  </a:solidFill>
                </a:rPr>
                <a:t>G1:G81 </a:t>
              </a:r>
              <a:r>
                <a:rPr lang="en-US" sz="1600" b="0" baseline="0"/>
                <a:t>contain the carbon mass represented by the volumes. Cells </a:t>
              </a:r>
              <a:r>
                <a:rPr lang="en-US" sz="1600" b="0" baseline="0">
                  <a:solidFill>
                    <a:srgbClr val="FF0000"/>
                  </a:solidFill>
                </a:rPr>
                <a:t>H1:I81 </a:t>
              </a:r>
              <a:r>
                <a:rPr lang="en-US" sz="1600" b="0" baseline="0"/>
                <a:t>contain the volume and carbon equivalents, but employing a competing FIA-based biomass model.  However, the two models are not entirely independent. The NTS method uses the limbs to trunk ratio contained in the FIA model. That ratio is in cell </a:t>
              </a:r>
              <a:r>
                <a:rPr lang="en-US" sz="1600" b="0" baseline="0">
                  <a:solidFill>
                    <a:srgbClr val="FF0000"/>
                  </a:solidFill>
                </a:rPr>
                <a:t>J1</a:t>
              </a:r>
              <a:r>
                <a:rPr lang="en-US" sz="1600" b="0" baseline="0"/>
                <a:t>. Cells </a:t>
              </a:r>
              <a:r>
                <a:rPr lang="en-US" sz="1600" b="0" baseline="0">
                  <a:solidFill>
                    <a:srgbClr val="FF0000"/>
                  </a:solidFill>
                </a:rPr>
                <a:t>J2:P81 </a:t>
              </a:r>
              <a:r>
                <a:rPr lang="en-US" sz="1600" b="0" baseline="0"/>
                <a:t>contain the derivation of the volumes of the 76 pines at age 50. Cells </a:t>
              </a:r>
              <a:r>
                <a:rPr lang="en-US" sz="1600" b="0" baseline="0">
                  <a:solidFill>
                    <a:srgbClr val="FF0000"/>
                  </a:solidFill>
                </a:rPr>
                <a:t>Q2:Q81 </a:t>
              </a:r>
              <a:r>
                <a:rPr lang="en-US" sz="1600" b="0" baseline="0"/>
                <a:t>contain the carbon mass equivalents. Cells </a:t>
              </a:r>
              <a:r>
                <a:rPr lang="en-US" sz="1600" b="0" baseline="0">
                  <a:solidFill>
                    <a:srgbClr val="FF0000"/>
                  </a:solidFill>
                </a:rPr>
                <a:t>R2:S81 </a:t>
              </a:r>
              <a:r>
                <a:rPr lang="en-US" sz="1600" b="0" baseline="0"/>
                <a:t>contain a derivation of the volume gained </a:t>
              </a:r>
              <a:r>
                <a:rPr lang="en-US" sz="1600" b="0" u="sng" baseline="0"/>
                <a:t>after</a:t>
              </a:r>
              <a:r>
                <a:rPr lang="en-US" sz="1600" b="0" baseline="0"/>
                <a:t> 50 years total and in 50-year increments thereafter, i.e.the remaining amount of volume gained between 50 and 150 years divided into two equal amounts. For example, for the first tree, the volume gained in the first 50 years is shown in cell P4. The remaining volume to be gained out to 150 years is in cell R4. This amount is divided into two equal amounts as shown in cell S4. These amounts would likely not be equal with the amount between 50 and 100 years somewhat larger than that from 100 to 150.</a:t>
              </a:r>
            </a:p>
            <a:p>
              <a:endParaRPr lang="en-US" sz="1600" b="0" baseline="0"/>
            </a:p>
            <a:p>
              <a:r>
                <a:rPr lang="en-US" sz="1600" b="0" baseline="0"/>
                <a:t>2. How do we arrive at the volumes at 50 years? Columns </a:t>
              </a:r>
              <a:r>
                <a:rPr lang="en-US" sz="1600" b="0" baseline="0">
                  <a:solidFill>
                    <a:srgbClr val="FF0000"/>
                  </a:solidFill>
                </a:rPr>
                <a:t>J </a:t>
              </a:r>
              <a:r>
                <a:rPr lang="en-US" sz="1600" b="0" baseline="0"/>
                <a:t>and </a:t>
              </a:r>
              <a:r>
                <a:rPr lang="en-US" sz="1600" b="0" baseline="0">
                  <a:solidFill>
                    <a:srgbClr val="FF0000"/>
                  </a:solidFill>
                </a:rPr>
                <a:t>K</a:t>
              </a:r>
              <a:r>
                <a:rPr lang="en-US" sz="1600" b="0" baseline="0"/>
                <a:t> specify annual radial and height growth rates </a:t>
              </a:r>
              <a:r>
                <a:rPr lang="en-US" sz="1600" b="0" u="sng" baseline="0"/>
                <a:t>after</a:t>
              </a:r>
              <a:r>
                <a:rPr lang="en-US" sz="1600" b="0" baseline="0"/>
                <a:t> the first 50 years. The formulas used to eastablih dimensions at 50 years follows.</a:t>
              </a:r>
            </a:p>
            <a:p>
              <a:endParaRPr lang="en-US" sz="1600" b="0" baseline="0"/>
            </a:p>
            <a:p>
              <a:pPr/>
              <a14:m>
                <m:oMathPara xmlns:m="http://schemas.openxmlformats.org/officeDocument/2006/math">
                  <m:oMathParaPr>
                    <m:jc m:val="centerGroup"/>
                  </m:oMathParaPr>
                  <m:oMath xmlns:m="http://schemas.openxmlformats.org/officeDocument/2006/math">
                    <m:sSub>
                      <m:sSubPr>
                        <m:ctrlPr>
                          <a:rPr lang="en-US" sz="1800" b="0" i="1" baseline="0">
                            <a:latin typeface="Cambria Math" panose="02040503050406030204" pitchFamily="18" charset="0"/>
                          </a:rPr>
                        </m:ctrlPr>
                      </m:sSubPr>
                      <m:e>
                        <m:r>
                          <a:rPr lang="en-US" sz="1800" b="0" i="1" baseline="0">
                            <a:latin typeface="Cambria Math" panose="02040503050406030204" pitchFamily="18" charset="0"/>
                          </a:rPr>
                          <m:t>𝐷</m:t>
                        </m:r>
                      </m:e>
                      <m:sub>
                        <m:r>
                          <a:rPr lang="en-US" sz="1800" b="0" i="1" baseline="0">
                            <a:latin typeface="Cambria Math" panose="02040503050406030204" pitchFamily="18" charset="0"/>
                          </a:rPr>
                          <m:t>50</m:t>
                        </m:r>
                      </m:sub>
                    </m:sSub>
                    <m:r>
                      <a:rPr lang="en-US" sz="1800" b="0" i="0" baseline="0">
                        <a:latin typeface="Cambria Math" panose="02040503050406030204" pitchFamily="18" charset="0"/>
                      </a:rPr>
                      <m:t>=</m:t>
                    </m:r>
                    <m:sSub>
                      <m:sSubPr>
                        <m:ctrlPr>
                          <a:rPr lang="en-US" sz="1800" b="0" i="1" baseline="0">
                            <a:latin typeface="Cambria Math" panose="02040503050406030204" pitchFamily="18" charset="0"/>
                          </a:rPr>
                        </m:ctrlPr>
                      </m:sSubPr>
                      <m:e>
                        <m:r>
                          <a:rPr lang="en-US" sz="1800" b="0" i="1" baseline="0">
                            <a:latin typeface="Cambria Math" panose="02040503050406030204" pitchFamily="18" charset="0"/>
                          </a:rPr>
                          <m:t>𝐷</m:t>
                        </m:r>
                      </m:e>
                      <m:sub>
                        <m:r>
                          <a:rPr lang="en-US" sz="1800" b="0" i="1" baseline="0">
                            <a:latin typeface="Cambria Math" panose="02040503050406030204" pitchFamily="18" charset="0"/>
                          </a:rPr>
                          <m:t>150</m:t>
                        </m:r>
                      </m:sub>
                    </m:sSub>
                    <m:r>
                      <a:rPr lang="en-US" sz="1800" b="0" i="1" baseline="0">
                        <a:latin typeface="Cambria Math" panose="02040503050406030204" pitchFamily="18" charset="0"/>
                      </a:rPr>
                      <m:t>−</m:t>
                    </m:r>
                    <m:sSub>
                      <m:sSubPr>
                        <m:ctrlPr>
                          <a:rPr lang="en-US" sz="1800" b="0" i="1" baseline="0">
                            <a:latin typeface="Cambria Math" panose="02040503050406030204" pitchFamily="18" charset="0"/>
                          </a:rPr>
                        </m:ctrlPr>
                      </m:sSubPr>
                      <m:e>
                        <m:r>
                          <a:rPr lang="en-US" sz="1800" b="0" i="1" baseline="0">
                            <a:latin typeface="Cambria Math" panose="02040503050406030204" pitchFamily="18" charset="0"/>
                          </a:rPr>
                          <m:t>𝑟</m:t>
                        </m:r>
                      </m:e>
                      <m:sub>
                        <m:r>
                          <a:rPr lang="en-US" sz="1800" b="0" i="1" baseline="0">
                            <a:latin typeface="Cambria Math" panose="02040503050406030204" pitchFamily="18" charset="0"/>
                          </a:rPr>
                          <m:t>&gt;50</m:t>
                        </m:r>
                      </m:sub>
                    </m:sSub>
                    <m:d>
                      <m:dPr>
                        <m:ctrlPr>
                          <a:rPr lang="en-US" sz="1800" b="0" i="1" baseline="0">
                            <a:latin typeface="Cambria Math" panose="02040503050406030204" pitchFamily="18" charset="0"/>
                          </a:rPr>
                        </m:ctrlPr>
                      </m:dPr>
                      <m:e>
                        <m:r>
                          <a:rPr lang="en-US" sz="1800" b="0" i="1" baseline="0">
                            <a:latin typeface="Cambria Math" panose="02040503050406030204" pitchFamily="18" charset="0"/>
                          </a:rPr>
                          <m:t>2</m:t>
                        </m:r>
                      </m:e>
                    </m:d>
                    <m:d>
                      <m:dPr>
                        <m:ctrlPr>
                          <a:rPr lang="en-US" sz="1800" b="0" i="1" baseline="0">
                            <a:latin typeface="Cambria Math" panose="02040503050406030204" pitchFamily="18" charset="0"/>
                          </a:rPr>
                        </m:ctrlPr>
                      </m:dPr>
                      <m:e>
                        <m:r>
                          <a:rPr lang="en-US" sz="1800" b="0" i="1" baseline="0">
                            <a:latin typeface="Cambria Math" panose="02040503050406030204" pitchFamily="18" charset="0"/>
                          </a:rPr>
                          <m:t>150−50</m:t>
                        </m:r>
                      </m:e>
                    </m:d>
                  </m:oMath>
                </m:oMathPara>
              </a14:m>
              <a:endParaRPr lang="en-US" sz="1800" b="0" baseline="0"/>
            </a:p>
            <a:p>
              <a:endParaRPr lang="en-US" sz="1800" b="0" baseline="0"/>
            </a:p>
            <a:p>
              <a:pPr/>
              <a14:m>
                <m:oMathPara xmlns:m="http://schemas.openxmlformats.org/officeDocument/2006/math">
                  <m:oMathParaPr>
                    <m:jc m:val="centerGroup"/>
                  </m:oMathParaPr>
                  <m:oMath xmlns:m="http://schemas.openxmlformats.org/officeDocument/2006/math">
                    <m:sSub>
                      <m:sSubPr>
                        <m:ctrlPr>
                          <a:rPr lang="en-US" sz="1800" b="0" i="1" baseline="0">
                            <a:latin typeface="Cambria Math" panose="02040503050406030204" pitchFamily="18" charset="0"/>
                          </a:rPr>
                        </m:ctrlPr>
                      </m:sSubPr>
                      <m:e>
                        <m:r>
                          <a:rPr lang="en-US" sz="1800" b="0" i="1" baseline="0">
                            <a:latin typeface="Cambria Math" panose="02040503050406030204" pitchFamily="18" charset="0"/>
                          </a:rPr>
                          <m:t>𝐻</m:t>
                        </m:r>
                      </m:e>
                      <m:sub>
                        <m:r>
                          <a:rPr lang="en-US" sz="1800" b="0" i="1" baseline="0">
                            <a:latin typeface="Cambria Math" panose="02040503050406030204" pitchFamily="18" charset="0"/>
                          </a:rPr>
                          <m:t>50</m:t>
                        </m:r>
                      </m:sub>
                    </m:sSub>
                    <m:r>
                      <a:rPr lang="en-US" sz="1800" b="0" i="1" baseline="0">
                        <a:latin typeface="Cambria Math" panose="02040503050406030204" pitchFamily="18" charset="0"/>
                      </a:rPr>
                      <m:t>=</m:t>
                    </m:r>
                    <m:sSub>
                      <m:sSubPr>
                        <m:ctrlPr>
                          <a:rPr lang="en-US" sz="1800" b="0" i="1" baseline="0">
                            <a:latin typeface="Cambria Math" panose="02040503050406030204" pitchFamily="18" charset="0"/>
                          </a:rPr>
                        </m:ctrlPr>
                      </m:sSubPr>
                      <m:e>
                        <m:r>
                          <a:rPr lang="en-US" sz="1800" b="0" i="1" baseline="0">
                            <a:latin typeface="Cambria Math" panose="02040503050406030204" pitchFamily="18" charset="0"/>
                          </a:rPr>
                          <m:t>𝐻</m:t>
                        </m:r>
                      </m:e>
                      <m:sub>
                        <m:r>
                          <a:rPr lang="en-US" sz="1800" b="0" i="1" baseline="0">
                            <a:latin typeface="Cambria Math" panose="02040503050406030204" pitchFamily="18" charset="0"/>
                          </a:rPr>
                          <m:t>150</m:t>
                        </m:r>
                      </m:sub>
                    </m:sSub>
                    <m:r>
                      <a:rPr lang="en-US" sz="1800" b="0" i="1" baseline="0">
                        <a:latin typeface="Cambria Math" panose="02040503050406030204" pitchFamily="18" charset="0"/>
                      </a:rPr>
                      <m:t>−</m:t>
                    </m:r>
                    <m:sSub>
                      <m:sSubPr>
                        <m:ctrlPr>
                          <a:rPr lang="en-US" sz="1800" b="0" i="1" baseline="0">
                            <a:latin typeface="Cambria Math" panose="02040503050406030204" pitchFamily="18" charset="0"/>
                          </a:rPr>
                        </m:ctrlPr>
                      </m:sSubPr>
                      <m:e>
                        <m:r>
                          <a:rPr lang="en-US" sz="1800" b="0" i="1" baseline="0">
                            <a:latin typeface="Cambria Math" panose="02040503050406030204" pitchFamily="18" charset="0"/>
                          </a:rPr>
                          <m:t>h</m:t>
                        </m:r>
                      </m:e>
                      <m:sub>
                        <m:r>
                          <a:rPr lang="en-US" sz="1800" b="0" i="1" baseline="0">
                            <a:latin typeface="Cambria Math" panose="02040503050406030204" pitchFamily="18" charset="0"/>
                          </a:rPr>
                          <m:t>&gt;50</m:t>
                        </m:r>
                      </m:sub>
                    </m:sSub>
                    <m:d>
                      <m:dPr>
                        <m:ctrlPr>
                          <a:rPr lang="en-US" sz="1800" b="0" i="1" baseline="0">
                            <a:latin typeface="Cambria Math" panose="02040503050406030204" pitchFamily="18" charset="0"/>
                          </a:rPr>
                        </m:ctrlPr>
                      </m:dPr>
                      <m:e>
                        <m:r>
                          <a:rPr lang="en-US" sz="1800" b="0" i="1" baseline="0">
                            <a:latin typeface="Cambria Math" panose="02040503050406030204" pitchFamily="18" charset="0"/>
                          </a:rPr>
                          <m:t>150−50</m:t>
                        </m:r>
                      </m:e>
                    </m:d>
                  </m:oMath>
                </m:oMathPara>
              </a14:m>
              <a:endParaRPr lang="en-US" sz="1800" b="0" baseline="0"/>
            </a:p>
            <a:p>
              <a:endParaRPr lang="en-US" sz="1800" b="0" baseline="0"/>
            </a:p>
            <a:p>
              <a:r>
                <a:rPr lang="en-US" sz="1800" b="0" baseline="0"/>
                <a:t>where </a:t>
              </a:r>
              <a14:m>
                <m:oMath xmlns:m="http://schemas.openxmlformats.org/officeDocument/2006/math">
                  <m:sSub>
                    <m:sSubPr>
                      <m:ctrlPr>
                        <a:rPr lang="en-US" sz="1800" b="0" i="1" baseline="0">
                          <a:latin typeface="Cambria Math" panose="02040503050406030204" pitchFamily="18" charset="0"/>
                        </a:rPr>
                      </m:ctrlPr>
                    </m:sSubPr>
                    <m:e>
                      <m:r>
                        <a:rPr lang="en-US" sz="1800" b="0" i="1" baseline="0">
                          <a:latin typeface="Cambria Math" panose="02040503050406030204" pitchFamily="18" charset="0"/>
                        </a:rPr>
                        <m:t>𝐷</m:t>
                      </m:r>
                    </m:e>
                    <m:sub>
                      <m:r>
                        <a:rPr lang="en-US" sz="1800" b="0" i="1" baseline="0">
                          <a:latin typeface="Cambria Math" panose="02040503050406030204" pitchFamily="18" charset="0"/>
                        </a:rPr>
                        <m:t>150</m:t>
                      </m:r>
                    </m:sub>
                  </m:sSub>
                </m:oMath>
              </a14:m>
              <a:r>
                <a:rPr lang="en-US" sz="1800" b="0" baseline="0"/>
                <a:t> = diameter at 150 years, </a:t>
              </a:r>
              <a14:m>
                <m:oMath xmlns:m="http://schemas.openxmlformats.org/officeDocument/2006/math">
                  <m:sSub>
                    <m:sSubPr>
                      <m:ctrlPr>
                        <a:rPr lang="en-US" sz="1800" b="0" i="1" baseline="0">
                          <a:latin typeface="Cambria Math" panose="02040503050406030204" pitchFamily="18" charset="0"/>
                        </a:rPr>
                      </m:ctrlPr>
                    </m:sSubPr>
                    <m:e>
                      <m:r>
                        <a:rPr lang="en-US" sz="1800" b="0" i="1" baseline="0">
                          <a:latin typeface="Cambria Math" panose="02040503050406030204" pitchFamily="18" charset="0"/>
                        </a:rPr>
                        <m:t>𝐷</m:t>
                      </m:r>
                    </m:e>
                    <m:sub>
                      <m:r>
                        <a:rPr lang="en-US" sz="1800" b="0" i="1" baseline="0">
                          <a:latin typeface="Cambria Math" panose="02040503050406030204" pitchFamily="18" charset="0"/>
                        </a:rPr>
                        <m:t>50</m:t>
                      </m:r>
                    </m:sub>
                  </m:sSub>
                  <m:r>
                    <a:rPr lang="en-US" sz="1800" b="0" i="1" baseline="0">
                      <a:latin typeface="Cambria Math" panose="02040503050406030204" pitchFamily="18" charset="0"/>
                    </a:rPr>
                    <m:t>=</m:t>
                  </m:r>
                </m:oMath>
              </a14:m>
              <a:r>
                <a:rPr lang="en-US" sz="1800" b="0" baseline="0"/>
                <a:t> diameter at 50 years, </a:t>
              </a:r>
              <a14:m>
                <m:oMath xmlns:m="http://schemas.openxmlformats.org/officeDocument/2006/math">
                  <m:sSub>
                    <m:sSubPr>
                      <m:ctrlPr>
                        <a:rPr lang="en-US" sz="1800" b="0" i="1" baseline="0">
                          <a:latin typeface="Cambria Math" panose="02040503050406030204" pitchFamily="18" charset="0"/>
                        </a:rPr>
                      </m:ctrlPr>
                    </m:sSubPr>
                    <m:e>
                      <m:r>
                        <a:rPr lang="en-US" sz="1800" b="0" i="1" baseline="0">
                          <a:latin typeface="Cambria Math" panose="02040503050406030204" pitchFamily="18" charset="0"/>
                        </a:rPr>
                        <m:t>𝑟</m:t>
                      </m:r>
                    </m:e>
                    <m:sub>
                      <m:r>
                        <a:rPr lang="en-US" sz="1800" b="0" i="1" baseline="0">
                          <a:latin typeface="Cambria Math" panose="02040503050406030204" pitchFamily="18" charset="0"/>
                        </a:rPr>
                        <m:t>&gt;50</m:t>
                      </m:r>
                    </m:sub>
                  </m:sSub>
                </m:oMath>
              </a14:m>
              <a:r>
                <a:rPr lang="en-US" sz="1800" b="0" baseline="0"/>
                <a:t> = average annual radial  growth after 50 years, </a:t>
              </a:r>
              <a14:m>
                <m:oMath xmlns:m="http://schemas.openxmlformats.org/officeDocument/2006/math">
                  <m:sSub>
                    <m:sSubPr>
                      <m:ctrlPr>
                        <a:rPr lang="en-US" sz="1800" b="0" i="1" baseline="0">
                          <a:latin typeface="Cambria Math" panose="02040503050406030204" pitchFamily="18" charset="0"/>
                        </a:rPr>
                      </m:ctrlPr>
                    </m:sSubPr>
                    <m:e>
                      <m:r>
                        <a:rPr lang="en-US" sz="1800" b="0" i="1" baseline="0">
                          <a:latin typeface="Cambria Math" panose="02040503050406030204" pitchFamily="18" charset="0"/>
                        </a:rPr>
                        <m:t>𝐻</m:t>
                      </m:r>
                    </m:e>
                    <m:sub>
                      <m:r>
                        <a:rPr lang="en-US" sz="1800" b="0" i="1" baseline="0">
                          <a:latin typeface="Cambria Math" panose="02040503050406030204" pitchFamily="18" charset="0"/>
                        </a:rPr>
                        <m:t>150</m:t>
                      </m:r>
                    </m:sub>
                  </m:sSub>
                </m:oMath>
              </a14:m>
              <a:r>
                <a:rPr lang="en-US" sz="1800" b="0" baseline="0"/>
                <a:t>= height at 150 years, </a:t>
              </a:r>
              <a14:m>
                <m:oMath xmlns:m="http://schemas.openxmlformats.org/officeDocument/2006/math">
                  <m:sSub>
                    <m:sSubPr>
                      <m:ctrlPr>
                        <a:rPr lang="en-US" sz="1800" b="0" i="1" baseline="0">
                          <a:latin typeface="Cambria Math" panose="02040503050406030204" pitchFamily="18" charset="0"/>
                        </a:rPr>
                      </m:ctrlPr>
                    </m:sSubPr>
                    <m:e>
                      <m:r>
                        <a:rPr lang="en-US" sz="1800" b="0" i="1" baseline="0">
                          <a:latin typeface="Cambria Math" panose="02040503050406030204" pitchFamily="18" charset="0"/>
                        </a:rPr>
                        <m:t>𝐻</m:t>
                      </m:r>
                    </m:e>
                    <m:sub>
                      <m:r>
                        <a:rPr lang="en-US" sz="1800" b="0" i="1" baseline="0">
                          <a:latin typeface="Cambria Math" panose="02040503050406030204" pitchFamily="18" charset="0"/>
                        </a:rPr>
                        <m:t>50</m:t>
                      </m:r>
                    </m:sub>
                  </m:sSub>
                </m:oMath>
              </a14:m>
              <a:r>
                <a:rPr lang="en-US" sz="1800" b="0" baseline="0"/>
                <a:t>= height at 50 years, </a:t>
              </a:r>
              <a14:m>
                <m:oMath xmlns:m="http://schemas.openxmlformats.org/officeDocument/2006/math">
                  <m:sSub>
                    <m:sSubPr>
                      <m:ctrlPr>
                        <a:rPr lang="en-US" sz="1800" b="0" i="1" baseline="0">
                          <a:latin typeface="Cambria Math" panose="02040503050406030204" pitchFamily="18" charset="0"/>
                        </a:rPr>
                      </m:ctrlPr>
                    </m:sSubPr>
                    <m:e>
                      <m:r>
                        <a:rPr lang="en-US" sz="1800" b="0" i="1" baseline="0">
                          <a:latin typeface="Cambria Math" panose="02040503050406030204" pitchFamily="18" charset="0"/>
                        </a:rPr>
                        <m:t>h</m:t>
                      </m:r>
                    </m:e>
                    <m:sub>
                      <m:r>
                        <a:rPr lang="en-US" sz="1800" b="0" i="1" baseline="0">
                          <a:latin typeface="Cambria Math" panose="02040503050406030204" pitchFamily="18" charset="0"/>
                        </a:rPr>
                        <m:t>&gt;50</m:t>
                      </m:r>
                    </m:sub>
                  </m:sSub>
                </m:oMath>
              </a14:m>
              <a:r>
                <a:rPr lang="en-US" sz="1800" b="0" baseline="0"/>
                <a:t> = average annual rate of height growth after 50 years. The results of these equations must yield a diameter and height at age 50 that are reasonable for the species as a whole and the particular tree at 50 years. Measurement of many 50-year old pines in different growing conditions allowed us to establish reasonable growth expectations for the species at 50 years.</a:t>
              </a:r>
            </a:p>
            <a:p>
              <a:endParaRPr lang="en-US" sz="1600" b="0" baseline="0"/>
            </a:p>
            <a:p>
              <a:r>
                <a:rPr lang="en-US" sz="1600" b="0" baseline="0"/>
                <a:t>3. Columns </a:t>
              </a:r>
              <a:r>
                <a:rPr lang="en-US" sz="1600" b="0" baseline="0">
                  <a:solidFill>
                    <a:srgbClr val="FF0000"/>
                  </a:solidFill>
                </a:rPr>
                <a:t>L </a:t>
              </a:r>
              <a:r>
                <a:rPr lang="en-US" sz="1600" b="0" baseline="0"/>
                <a:t>through </a:t>
              </a:r>
              <a:r>
                <a:rPr lang="en-US" sz="1600" b="0" baseline="0">
                  <a:solidFill>
                    <a:srgbClr val="FF0000"/>
                  </a:solidFill>
                </a:rPr>
                <a:t>O </a:t>
              </a:r>
              <a:r>
                <a:rPr lang="en-US" sz="1600" b="0" baseline="0"/>
                <a:t>establish the DBH and height needed to compute the volume at 50 years as shown in  column </a:t>
              </a:r>
              <a:r>
                <a:rPr lang="en-US" sz="1600" b="0" baseline="0">
                  <a:solidFill>
                    <a:srgbClr val="FF0000"/>
                  </a:solidFill>
                </a:rPr>
                <a:t>P</a:t>
              </a:r>
              <a:r>
                <a:rPr lang="en-US" sz="1600" b="0" baseline="0"/>
                <a:t>. Column </a:t>
              </a:r>
              <a:r>
                <a:rPr lang="en-US" sz="1600" b="0" baseline="0">
                  <a:solidFill>
                    <a:srgbClr val="FF0000"/>
                  </a:solidFill>
                </a:rPr>
                <a:t>Q </a:t>
              </a:r>
              <a:r>
                <a:rPr lang="en-US" sz="1600" b="0" baseline="0"/>
                <a:t>computes the associated carbon. </a:t>
              </a:r>
            </a:p>
            <a:p>
              <a:endParaRPr lang="en-US" sz="1600" b="0" baseline="0"/>
            </a:p>
            <a:p>
              <a:r>
                <a:rPr lang="en-US" sz="1600" b="0" baseline="0"/>
                <a:t>4. Cells </a:t>
              </a:r>
              <a:r>
                <a:rPr lang="en-US" sz="1600" b="0" baseline="0">
                  <a:solidFill>
                    <a:srgbClr val="FF0000"/>
                  </a:solidFill>
                </a:rPr>
                <a:t>A82:W83 </a:t>
              </a:r>
              <a:r>
                <a:rPr lang="en-US" sz="1600" b="0" baseline="0"/>
                <a:t>and </a:t>
              </a:r>
              <a:r>
                <a:rPr lang="en-US" sz="1600" b="0" baseline="0">
                  <a:solidFill>
                    <a:srgbClr val="FF0000"/>
                  </a:solidFill>
                </a:rPr>
                <a:t>A84:I86 </a:t>
              </a:r>
              <a:r>
                <a:rPr lang="en-US" sz="1600" b="0" baseline="0"/>
                <a:t>carry totals. Cells </a:t>
              </a:r>
              <a:r>
                <a:rPr lang="en-US" sz="1600" b="0" baseline="0">
                  <a:solidFill>
                    <a:srgbClr val="FF0000"/>
                  </a:solidFill>
                </a:rPr>
                <a:t>B82:E84 </a:t>
              </a:r>
              <a:r>
                <a:rPr lang="en-US" sz="1600" b="0" baseline="0"/>
                <a:t>compute an average sized pine. This is for information only. no use is made elsewhere of the average.</a:t>
              </a:r>
            </a:p>
            <a:p>
              <a:endParaRPr lang="en-US" sz="1600" b="0" baseline="0"/>
            </a:p>
            <a:p>
              <a:r>
                <a:rPr lang="en-US" sz="1600" b="0" baseline="0"/>
                <a:t>5. The </a:t>
              </a:r>
              <a:r>
                <a:rPr lang="en-US" sz="1600" b="1" baseline="0"/>
                <a:t>Carbon Summaries </a:t>
              </a:r>
              <a:r>
                <a:rPr lang="en-US" sz="1600" b="0" baseline="0"/>
                <a:t>worksheet establish the stand-based densities and contain key carbon comparisons. Cells </a:t>
              </a:r>
              <a:r>
                <a:rPr lang="en-US" sz="1600" b="0" baseline="0">
                  <a:solidFill>
                    <a:srgbClr val="FF0000"/>
                  </a:solidFill>
                </a:rPr>
                <a:t>A2:C79 </a:t>
              </a:r>
              <a:r>
                <a:rPr lang="en-US" sz="1600" b="0" baseline="0"/>
                <a:t>draws the individual pine dimensions from the </a:t>
              </a:r>
              <a:r>
                <a:rPr lang="en-US" sz="1600" b="1" baseline="0"/>
                <a:t>Main</a:t>
              </a:r>
              <a:r>
                <a:rPr lang="en-US" sz="1600" b="0" baseline="0"/>
                <a:t> worksheet. Column </a:t>
              </a:r>
              <a:r>
                <a:rPr lang="en-US" sz="1600" b="0" baseline="0">
                  <a:solidFill>
                    <a:srgbClr val="FF0000"/>
                  </a:solidFill>
                </a:rPr>
                <a:t>E</a:t>
              </a:r>
              <a:r>
                <a:rPr lang="en-US" sz="1600" b="0" baseline="0"/>
                <a:t> and </a:t>
              </a:r>
              <a:r>
                <a:rPr lang="en-US" sz="1600" b="0" baseline="0">
                  <a:solidFill>
                    <a:srgbClr val="FF0000"/>
                  </a:solidFill>
                </a:rPr>
                <a:t>F</a:t>
              </a:r>
              <a:r>
                <a:rPr lang="en-US" sz="1600" b="0" baseline="0"/>
                <a:t> show carbon by tree at 150 and 50 years respectively based on the NTS model. These values are drawn directly from the </a:t>
              </a:r>
              <a:r>
                <a:rPr lang="en-US" sz="1600" b="0" baseline="0">
                  <a:solidFill>
                    <a:srgbClr val="FF0000"/>
                  </a:solidFill>
                </a:rPr>
                <a:t>Main</a:t>
              </a:r>
              <a:r>
                <a:rPr lang="en-US" sz="1600" b="0" baseline="0"/>
                <a:t> worksheet. Columns </a:t>
              </a:r>
              <a:r>
                <a:rPr lang="en-US" sz="1600" b="0" baseline="0">
                  <a:solidFill>
                    <a:srgbClr val="FF0000"/>
                  </a:solidFill>
                </a:rPr>
                <a:t>G</a:t>
              </a:r>
              <a:r>
                <a:rPr lang="en-US" sz="1600" b="0" baseline="0"/>
                <a:t>, and </a:t>
              </a:r>
              <a:r>
                <a:rPr lang="en-US" sz="1600" b="0" baseline="0">
                  <a:solidFill>
                    <a:srgbClr val="FF0000"/>
                  </a:solidFill>
                </a:rPr>
                <a:t>H</a:t>
              </a:r>
              <a:r>
                <a:rPr lang="en-US" sz="1600" b="0" baseline="0"/>
                <a:t> show carbon gain after 50 years, the total and divided into equal 50-year periods, again for the NTS model. Columns </a:t>
              </a:r>
              <a:r>
                <a:rPr lang="en-US" sz="1600" b="0" baseline="0">
                  <a:solidFill>
                    <a:srgbClr val="FF0000"/>
                  </a:solidFill>
                </a:rPr>
                <a:t>K</a:t>
              </a:r>
              <a:r>
                <a:rPr lang="en-US" sz="1600" b="0" baseline="0"/>
                <a:t> through </a:t>
              </a:r>
              <a:r>
                <a:rPr lang="en-US" sz="1600" b="0" baseline="0">
                  <a:solidFill>
                    <a:srgbClr val="FF0000"/>
                  </a:solidFill>
                </a:rPr>
                <a:t>N</a:t>
              </a:r>
              <a:r>
                <a:rPr lang="en-US" sz="1600" b="0" baseline="0"/>
                <a:t> show the FIA comparison to NTS.</a:t>
              </a:r>
            </a:p>
            <a:p>
              <a:endParaRPr lang="en-US" sz="1600" b="0" baseline="0"/>
            </a:p>
            <a:p>
              <a:r>
                <a:rPr lang="en-US" sz="1600" b="0"/>
                <a:t> 6. Rows </a:t>
              </a:r>
              <a:r>
                <a:rPr lang="en-US" sz="1600" b="0">
                  <a:solidFill>
                    <a:srgbClr val="FF0000"/>
                  </a:solidFill>
                </a:rPr>
                <a:t>80</a:t>
              </a:r>
              <a:r>
                <a:rPr lang="en-US" sz="1600" b="0"/>
                <a:t> and </a:t>
              </a:r>
              <a:r>
                <a:rPr lang="en-US" sz="1600" b="0">
                  <a:solidFill>
                    <a:srgbClr val="FF0000"/>
                  </a:solidFill>
                </a:rPr>
                <a:t>81</a:t>
              </a:r>
              <a:r>
                <a:rPr lang="en-US" sz="1600" b="0"/>
                <a:t> contain</a:t>
              </a:r>
              <a:r>
                <a:rPr lang="en-US" sz="1600" b="0" baseline="0"/>
                <a:t> totals for the columns </a:t>
              </a:r>
              <a:r>
                <a:rPr lang="en-US" sz="1600" b="0"/>
                <a:t> </a:t>
              </a:r>
              <a:r>
                <a:rPr lang="en-US" sz="1600" b="0">
                  <a:solidFill>
                    <a:srgbClr val="FF0000"/>
                  </a:solidFill>
                </a:rPr>
                <a:t>E-H</a:t>
              </a:r>
              <a:r>
                <a:rPr lang="en-US" sz="1600" b="0"/>
                <a:t>, </a:t>
              </a:r>
              <a:r>
                <a:rPr lang="en-US" sz="1600" b="0">
                  <a:solidFill>
                    <a:srgbClr val="FF0000"/>
                  </a:solidFill>
                </a:rPr>
                <a:t>K-N</a:t>
              </a:r>
              <a:r>
                <a:rPr lang="en-US" sz="1600" b="0"/>
                <a:t> for imperial and metric units.</a:t>
              </a:r>
            </a:p>
            <a:p>
              <a:endParaRPr lang="en-US" sz="1600" b="0"/>
            </a:p>
            <a:p>
              <a:r>
                <a:rPr lang="en-US" sz="1600" b="0"/>
                <a:t>7. The conclusioin regions of </a:t>
              </a:r>
              <a:r>
                <a:rPr lang="en-US" sz="1600" b="0">
                  <a:solidFill>
                    <a:srgbClr val="FF0000"/>
                  </a:solidFill>
                </a:rPr>
                <a:t>Carbon Summaries </a:t>
              </a:r>
              <a:r>
                <a:rPr lang="en-US" sz="1600" b="0"/>
                <a:t>contain some complicated features.</a:t>
              </a:r>
              <a:r>
                <a:rPr lang="en-US" sz="1600" b="0" baseline="0"/>
                <a:t> Go to cell </a:t>
              </a:r>
              <a:r>
                <a:rPr lang="en-US" sz="1600" b="0" baseline="0">
                  <a:solidFill>
                    <a:srgbClr val="FF0000"/>
                  </a:solidFill>
                </a:rPr>
                <a:t>P64</a:t>
              </a:r>
              <a:r>
                <a:rPr lang="en-US" sz="1600" b="0" baseline="0"/>
                <a:t> in that worksheet to see explanations for the methodology and derivations.</a:t>
              </a:r>
            </a:p>
            <a:p>
              <a:endParaRPr lang="en-US" sz="1600" b="0" baseline="0"/>
            </a:p>
            <a:p>
              <a:r>
                <a:rPr lang="en-US" sz="1600" b="0" baseline="0"/>
                <a:t>8. Note that in the </a:t>
              </a:r>
              <a:r>
                <a:rPr lang="en-US" sz="1600" b="1" baseline="0"/>
                <a:t>Main </a:t>
              </a:r>
              <a:r>
                <a:rPr lang="en-US" sz="1600" b="0" baseline="0"/>
                <a:t>worksheet  </a:t>
              </a:r>
              <a:r>
                <a:rPr lang="en-US" sz="1600" b="1" baseline="0">
                  <a:solidFill>
                    <a:schemeClr val="accent6">
                      <a:lumMod val="75000"/>
                    </a:schemeClr>
                  </a:solidFill>
                </a:rPr>
                <a:t>green</a:t>
              </a:r>
              <a:r>
                <a:rPr lang="en-US" sz="1600" b="0" baseline="0">
                  <a:solidFill>
                    <a:schemeClr val="accent6">
                      <a:lumMod val="50000"/>
                    </a:schemeClr>
                  </a:solidFill>
                </a:rPr>
                <a:t> and </a:t>
              </a:r>
              <a:r>
                <a:rPr lang="en-US" sz="1600" b="1" baseline="0">
                  <a:solidFill>
                    <a:schemeClr val="accent4">
                      <a:lumMod val="75000"/>
                    </a:schemeClr>
                  </a:solidFill>
                </a:rPr>
                <a:t>yellow</a:t>
              </a:r>
              <a:r>
                <a:rPr lang="en-US" sz="1600" b="0" baseline="0">
                  <a:solidFill>
                    <a:schemeClr val="accent4">
                      <a:lumMod val="75000"/>
                    </a:schemeClr>
                  </a:solidFill>
                </a:rPr>
                <a:t>-</a:t>
              </a:r>
              <a:r>
                <a:rPr lang="en-US" sz="1600" b="1" baseline="0">
                  <a:solidFill>
                    <a:schemeClr val="accent4">
                      <a:lumMod val="75000"/>
                    </a:schemeClr>
                  </a:solidFill>
                </a:rPr>
                <a:t>tan</a:t>
              </a:r>
              <a:r>
                <a:rPr lang="en-US" sz="1600" b="0" baseline="0">
                  <a:solidFill>
                    <a:schemeClr val="accent4">
                      <a:lumMod val="75000"/>
                    </a:schemeClr>
                  </a:solidFill>
                </a:rPr>
                <a:t> </a:t>
              </a:r>
              <a:r>
                <a:rPr lang="en-US" sz="1600" b="0" baseline="0"/>
                <a:t>cells are where data are entered. The green cells are for NTS data and the yellow-tan for FIA. In </a:t>
              </a:r>
              <a:r>
                <a:rPr lang="en-US" sz="1600" b="1" baseline="0"/>
                <a:t>Carbon Summaries</a:t>
              </a:r>
              <a:r>
                <a:rPr lang="en-US" sz="1600" b="0" baseline="0"/>
                <a:t>, source input data are in </a:t>
              </a:r>
              <a:r>
                <a:rPr lang="en-US" sz="1600" b="1" baseline="0">
                  <a:solidFill>
                    <a:srgbClr val="FF0000"/>
                  </a:solidFill>
                </a:rPr>
                <a:t>red font </a:t>
              </a:r>
              <a:r>
                <a:rPr lang="en-US" sz="1600" b="1" baseline="0">
                  <a:solidFill>
                    <a:schemeClr val="accent6"/>
                  </a:solidFill>
                </a:rPr>
                <a:t>within the green cells</a:t>
              </a:r>
              <a:r>
                <a:rPr lang="en-US" sz="1600" b="0" baseline="0"/>
                <a:t>.</a:t>
              </a:r>
            </a:p>
            <a:p>
              <a:endParaRPr lang="en-US" sz="1600" b="0" baseline="0"/>
            </a:p>
            <a:p>
              <a:r>
                <a:rPr lang="en-US" sz="1600" b="0" baseline="0"/>
                <a:t>9. Worksheets are protected except for data entry cells to prevent accidental erasure.  You can unprotect a worksheet by entering the command &lt;Tools&gt;&lt;Protection&gt;&lt;Unprotect&gt;.</a:t>
              </a:r>
            </a:p>
            <a:p>
              <a:endParaRPr lang="en-US" sz="1600" b="0" baseline="0"/>
            </a:p>
            <a:p>
              <a:r>
                <a:rPr lang="en-US" sz="1600" b="0" baseline="0"/>
                <a:t>10. New data can be entered into data entry cells to run a different scenario.</a:t>
              </a:r>
            </a:p>
            <a:p>
              <a:endParaRPr lang="en-US" sz="1600" b="0" baseline="0"/>
            </a:p>
            <a:p>
              <a:r>
                <a:rPr lang="en-US" sz="1600" b="1" baseline="0"/>
                <a:t>CURRENT SUMMARY of RESULTS </a:t>
              </a:r>
            </a:p>
            <a:p>
              <a:endParaRPr lang="en-US" sz="1600" b="0" baseline="0"/>
            </a:p>
            <a:p>
              <a:r>
                <a:rPr lang="en-US" sz="1600" b="0" baseline="0"/>
                <a:t>  The results from this model are shown in summary form below using the inputs mentioned above. The red font shows key comparisons between carbon in living trees at 50 years versus 150 for both the NTS amnd FIA models and for Imperial and metric units.</a:t>
              </a:r>
            </a:p>
          </xdr:txBody>
        </xdr:sp>
      </mc:Choice>
      <mc:Fallback xmlns="">
        <xdr:sp macro="" textlink="">
          <xdr:nvSpPr>
            <xdr:cNvPr id="2" name="TextBox 1">
              <a:extLst>
                <a:ext uri="{FF2B5EF4-FFF2-40B4-BE49-F238E27FC236}">
                  <a16:creationId xmlns:a16="http://schemas.microsoft.com/office/drawing/2014/main" id="{0B985DAD-D368-E942-9C12-0FB17EA66E57}"/>
                </a:ext>
              </a:extLst>
            </xdr:cNvPr>
            <xdr:cNvSpPr txBox="1"/>
          </xdr:nvSpPr>
          <xdr:spPr>
            <a:xfrm>
              <a:off x="25400" y="88900"/>
              <a:ext cx="23291800" cy="12534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INTRODUCTION</a:t>
              </a:r>
            </a:p>
            <a:p>
              <a:endParaRPr lang="en-US" sz="1600" b="0"/>
            </a:p>
            <a:p>
              <a:r>
                <a:rPr lang="en-US" sz="1600" b="0"/>
                <a:t>This Excel workbook contains</a:t>
              </a:r>
              <a:r>
                <a:rPr lang="en-US" sz="1600" b="0" baseline="0"/>
                <a:t> an analysis of a stand of 76 white pines in Mohawk Trail State Forest (MTSF), Charlemont, MA named the </a:t>
              </a:r>
              <a:r>
                <a:rPr lang="en-US" sz="1600" b="1" i="1" baseline="0"/>
                <a:t>Trees of Peace</a:t>
              </a:r>
              <a:r>
                <a:rPr lang="en-US" sz="1600" b="0" baseline="0"/>
                <a:t>. The analysis seeks to detemine the amount of carbon in the standing live pines at their present age of approximately 150 years along with the amount of carbon they would likely have held at a stand age of 50 years. This is accomplished by measuring the DBH and height of each of the 76  trees and computing its volume through a method developed by the Native Tree society (NTS). A second method of determining individual tree volume utilizes an FIA-based model. From each of these sets of volume determinations, a total volume is computed along with the associated  amount of carbon represented by the volumes. Next a projection is made of the amount of carbon in each standing tree that would have been present at age 50. To this a second projection is made of how many trees were standing at age 50 and their respective sizes. This allows the total amount of carbon to be estimated for the trees that were alive at age 50.  This total 50-year amount can then be compared to that present today and the difference noted. Finally, we conider three rotations of the live pines at age 50 along with the percentage of carbon that would likely remain today out of each of the rotations. This allows us to compare the amount of carbon in the living trees today compared to what would remain from three rotations of the stand at age 50. The methodology used to make these comparions is explained below. The process is parameter driven so that when a key assumption is changed, the effect trickles through the </a:t>
              </a:r>
              <a:r>
                <a:rPr lang="en-US" sz="1600" b="1" baseline="0"/>
                <a:t>Main</a:t>
              </a:r>
              <a:r>
                <a:rPr lang="en-US" sz="1600" b="0" baseline="0"/>
                <a:t> and </a:t>
              </a:r>
              <a:r>
                <a:rPr lang="en-US" sz="1600" b="1" baseline="0"/>
                <a:t>Carbon Summaries</a:t>
              </a:r>
              <a:r>
                <a:rPr lang="en-US" sz="1600" b="0" baseline="0"/>
                <a:t> spreadsheets. This allows "what if" scenarios to be entertained. The value of this approach is that it allows us to follow a particular stand of pines as opposed to applying broad averages that may disguise the performance in particular stands. It is also important to point out that this model applies to stands of trees comprised of the same species such as pine or spruce. Stand development likely began in an open field.</a:t>
              </a:r>
            </a:p>
            <a:p>
              <a:endParaRPr lang="en-US" sz="1600" b="0" baseline="0"/>
            </a:p>
            <a:p>
              <a:r>
                <a:rPr lang="en-US" sz="1600" b="1" baseline="0"/>
                <a:t>METHODOLOGY</a:t>
              </a:r>
            </a:p>
            <a:p>
              <a:endParaRPr lang="en-US" sz="1600" b="0" baseline="0"/>
            </a:p>
            <a:p>
              <a:r>
                <a:rPr lang="en-US" sz="1600" b="0" baseline="0"/>
                <a:t>1. The </a:t>
              </a:r>
              <a:r>
                <a:rPr lang="en-US" sz="1600" b="1" baseline="0"/>
                <a:t>Main</a:t>
              </a:r>
              <a:r>
                <a:rPr lang="en-US" sz="1600" b="0" baseline="0"/>
                <a:t> worksheet contains measurements of 76 white pines in MTSF that comprise an area called the </a:t>
              </a:r>
              <a:r>
                <a:rPr lang="en-US" sz="1600" b="1" i="1" baseline="0"/>
                <a:t>Trees of Peace</a:t>
              </a:r>
              <a:r>
                <a:rPr lang="en-US" sz="1600" b="0" baseline="0"/>
                <a:t>.  Cells </a:t>
              </a:r>
              <a:r>
                <a:rPr lang="en-US" sz="1600" b="0" baseline="0">
                  <a:solidFill>
                    <a:srgbClr val="FF0000"/>
                  </a:solidFill>
                </a:rPr>
                <a:t>A2:F81 </a:t>
              </a:r>
              <a:r>
                <a:rPr lang="en-US" sz="1600" b="0" baseline="0"/>
                <a:t>contain the computations of the trunk and limb volumes using  methods developed by the Native Tree Society (NTS). Cells </a:t>
              </a:r>
              <a:r>
                <a:rPr lang="en-US" sz="1600" b="0" baseline="0">
                  <a:solidFill>
                    <a:srgbClr val="FF0000"/>
                  </a:solidFill>
                </a:rPr>
                <a:t>G1:G81 </a:t>
              </a:r>
              <a:r>
                <a:rPr lang="en-US" sz="1600" b="0" baseline="0"/>
                <a:t>contain the carbon mass represented by the volumes. Cells </a:t>
              </a:r>
              <a:r>
                <a:rPr lang="en-US" sz="1600" b="0" baseline="0">
                  <a:solidFill>
                    <a:srgbClr val="FF0000"/>
                  </a:solidFill>
                </a:rPr>
                <a:t>H1:I81 </a:t>
              </a:r>
              <a:r>
                <a:rPr lang="en-US" sz="1600" b="0" baseline="0"/>
                <a:t>contain the volume and carbon equivalents, but employing a competing FIA-based biomass model.  However, the two models are not entirely independent. The NTS method uses the limbs to trunk ratio contained in the FIA model. That ratio is in cell </a:t>
              </a:r>
              <a:r>
                <a:rPr lang="en-US" sz="1600" b="0" baseline="0">
                  <a:solidFill>
                    <a:srgbClr val="FF0000"/>
                  </a:solidFill>
                </a:rPr>
                <a:t>J1</a:t>
              </a:r>
              <a:r>
                <a:rPr lang="en-US" sz="1600" b="0" baseline="0"/>
                <a:t>. Cells </a:t>
              </a:r>
              <a:r>
                <a:rPr lang="en-US" sz="1600" b="0" baseline="0">
                  <a:solidFill>
                    <a:srgbClr val="FF0000"/>
                  </a:solidFill>
                </a:rPr>
                <a:t>J2:P81 </a:t>
              </a:r>
              <a:r>
                <a:rPr lang="en-US" sz="1600" b="0" baseline="0"/>
                <a:t>contain the derivation of the volumes of the 76 pines at age 50. Cells </a:t>
              </a:r>
              <a:r>
                <a:rPr lang="en-US" sz="1600" b="0" baseline="0">
                  <a:solidFill>
                    <a:srgbClr val="FF0000"/>
                  </a:solidFill>
                </a:rPr>
                <a:t>Q2:Q81 </a:t>
              </a:r>
              <a:r>
                <a:rPr lang="en-US" sz="1600" b="0" baseline="0"/>
                <a:t>contain the carbon mass equivalents. Cells </a:t>
              </a:r>
              <a:r>
                <a:rPr lang="en-US" sz="1600" b="0" baseline="0">
                  <a:solidFill>
                    <a:srgbClr val="FF0000"/>
                  </a:solidFill>
                </a:rPr>
                <a:t>R2:S81 </a:t>
              </a:r>
              <a:r>
                <a:rPr lang="en-US" sz="1600" b="0" baseline="0"/>
                <a:t>contain a derivation of the volume gained </a:t>
              </a:r>
              <a:r>
                <a:rPr lang="en-US" sz="1600" b="0" u="sng" baseline="0"/>
                <a:t>after</a:t>
              </a:r>
              <a:r>
                <a:rPr lang="en-US" sz="1600" b="0" baseline="0"/>
                <a:t> 50 years total and in 50-year increments thereafter, i.e.the remaining amount of volume gained between 50 and 150 years divided into two equal amounts. For example, for the first tree, the volume gained in the first 50 years is shown in cell P4. The remaining volume to be gained out to 150 years is in cell R4. This amount is divided into two equal amounts as shown in cell S4. These amounts would likely not be equal with the amount between 50 and 100 years somewhat larger than that from 100 to 150.</a:t>
              </a:r>
            </a:p>
            <a:p>
              <a:endParaRPr lang="en-US" sz="1600" b="0" baseline="0"/>
            </a:p>
            <a:p>
              <a:r>
                <a:rPr lang="en-US" sz="1600" b="0" baseline="0"/>
                <a:t>2. How do we arrive at the volumes at 50 years? Columns </a:t>
              </a:r>
              <a:r>
                <a:rPr lang="en-US" sz="1600" b="0" baseline="0">
                  <a:solidFill>
                    <a:srgbClr val="FF0000"/>
                  </a:solidFill>
                </a:rPr>
                <a:t>J </a:t>
              </a:r>
              <a:r>
                <a:rPr lang="en-US" sz="1600" b="0" baseline="0"/>
                <a:t>and </a:t>
              </a:r>
              <a:r>
                <a:rPr lang="en-US" sz="1600" b="0" baseline="0">
                  <a:solidFill>
                    <a:srgbClr val="FF0000"/>
                  </a:solidFill>
                </a:rPr>
                <a:t>K</a:t>
              </a:r>
              <a:r>
                <a:rPr lang="en-US" sz="1600" b="0" baseline="0"/>
                <a:t> specify annual radial and height growth rates </a:t>
              </a:r>
              <a:r>
                <a:rPr lang="en-US" sz="1600" b="0" u="sng" baseline="0"/>
                <a:t>after</a:t>
              </a:r>
              <a:r>
                <a:rPr lang="en-US" sz="1600" b="0" baseline="0"/>
                <a:t> the first 50 years. The formulas used to eastablih dimensions at 50 years follows.</a:t>
              </a:r>
            </a:p>
            <a:p>
              <a:endParaRPr lang="en-US" sz="1600" b="0" baseline="0"/>
            </a:p>
            <a:p>
              <a:pPr/>
              <a:r>
                <a:rPr lang="en-US" sz="1800" b="0" i="0" baseline="0">
                  <a:latin typeface="Cambria Math" panose="02040503050406030204" pitchFamily="18" charset="0"/>
                </a:rPr>
                <a:t>𝐷_50=𝐷_150−𝑟_(&gt;50) (2)(150−50)</a:t>
              </a:r>
              <a:endParaRPr lang="en-US" sz="1800" b="0" baseline="0"/>
            </a:p>
            <a:p>
              <a:endParaRPr lang="en-US" sz="1800" b="0" baseline="0"/>
            </a:p>
            <a:p>
              <a:pPr/>
              <a:r>
                <a:rPr lang="en-US" sz="1800" b="0" i="0" baseline="0">
                  <a:latin typeface="Cambria Math" panose="02040503050406030204" pitchFamily="18" charset="0"/>
                </a:rPr>
                <a:t>𝐻_50=𝐻_150−ℎ_(&gt;50) (150−50)</a:t>
              </a:r>
              <a:endParaRPr lang="en-US" sz="1800" b="0" baseline="0"/>
            </a:p>
            <a:p>
              <a:endParaRPr lang="en-US" sz="1800" b="0" baseline="0"/>
            </a:p>
            <a:p>
              <a:r>
                <a:rPr lang="en-US" sz="1800" b="0" baseline="0"/>
                <a:t>where </a:t>
              </a:r>
              <a:r>
                <a:rPr lang="en-US" sz="1800" b="0" i="0" baseline="0">
                  <a:latin typeface="Cambria Math" panose="02040503050406030204" pitchFamily="18" charset="0"/>
                </a:rPr>
                <a:t>𝐷_150</a:t>
              </a:r>
              <a:r>
                <a:rPr lang="en-US" sz="1800" b="0" baseline="0"/>
                <a:t> = diameter at 150 years, </a:t>
              </a:r>
              <a:r>
                <a:rPr lang="en-US" sz="1800" b="0" i="0" baseline="0">
                  <a:latin typeface="Cambria Math" panose="02040503050406030204" pitchFamily="18" charset="0"/>
                </a:rPr>
                <a:t>𝐷_50=</a:t>
              </a:r>
              <a:r>
                <a:rPr lang="en-US" sz="1800" b="0" baseline="0"/>
                <a:t> diameter at 50 years, </a:t>
              </a:r>
              <a:r>
                <a:rPr lang="en-US" sz="1800" b="0" i="0" baseline="0">
                  <a:latin typeface="Cambria Math" panose="02040503050406030204" pitchFamily="18" charset="0"/>
                </a:rPr>
                <a:t>𝑟_(&gt;50)</a:t>
              </a:r>
              <a:r>
                <a:rPr lang="en-US" sz="1800" b="0" baseline="0"/>
                <a:t> = average annual radial  growth after 50 years, </a:t>
              </a:r>
              <a:r>
                <a:rPr lang="en-US" sz="1800" b="0" i="0" baseline="0">
                  <a:latin typeface="Cambria Math" panose="02040503050406030204" pitchFamily="18" charset="0"/>
                </a:rPr>
                <a:t>𝐻_150</a:t>
              </a:r>
              <a:r>
                <a:rPr lang="en-US" sz="1800" b="0" baseline="0"/>
                <a:t>= height at 150 years, </a:t>
              </a:r>
              <a:r>
                <a:rPr lang="en-US" sz="1800" b="0" i="0" baseline="0">
                  <a:latin typeface="Cambria Math" panose="02040503050406030204" pitchFamily="18" charset="0"/>
                </a:rPr>
                <a:t>𝐻_50</a:t>
              </a:r>
              <a:r>
                <a:rPr lang="en-US" sz="1800" b="0" baseline="0"/>
                <a:t>= height at 50 years, </a:t>
              </a:r>
              <a:r>
                <a:rPr lang="en-US" sz="1800" b="0" i="0" baseline="0">
                  <a:latin typeface="Cambria Math" panose="02040503050406030204" pitchFamily="18" charset="0"/>
                </a:rPr>
                <a:t>ℎ_(&gt;50)</a:t>
              </a:r>
              <a:r>
                <a:rPr lang="en-US" sz="1800" b="0" baseline="0"/>
                <a:t> = average annual rate of height growth after 50 years. The results of these equations must yield a diameter and height at age 50 that are reasonable for the species as a whole and the particular tree at 50 years. Measurement of many 50-year old pines in different growing conditions allowed us to establish reasonable growth expectations for the species at 50 years.</a:t>
              </a:r>
            </a:p>
            <a:p>
              <a:endParaRPr lang="en-US" sz="1600" b="0" baseline="0"/>
            </a:p>
            <a:p>
              <a:r>
                <a:rPr lang="en-US" sz="1600" b="0" baseline="0"/>
                <a:t>3. Columns </a:t>
              </a:r>
              <a:r>
                <a:rPr lang="en-US" sz="1600" b="0" baseline="0">
                  <a:solidFill>
                    <a:srgbClr val="FF0000"/>
                  </a:solidFill>
                </a:rPr>
                <a:t>L </a:t>
              </a:r>
              <a:r>
                <a:rPr lang="en-US" sz="1600" b="0" baseline="0"/>
                <a:t>through </a:t>
              </a:r>
              <a:r>
                <a:rPr lang="en-US" sz="1600" b="0" baseline="0">
                  <a:solidFill>
                    <a:srgbClr val="FF0000"/>
                  </a:solidFill>
                </a:rPr>
                <a:t>O </a:t>
              </a:r>
              <a:r>
                <a:rPr lang="en-US" sz="1600" b="0" baseline="0"/>
                <a:t>establish the DBH and height needed to compute the volume at 50 years as shown in  column </a:t>
              </a:r>
              <a:r>
                <a:rPr lang="en-US" sz="1600" b="0" baseline="0">
                  <a:solidFill>
                    <a:srgbClr val="FF0000"/>
                  </a:solidFill>
                </a:rPr>
                <a:t>P</a:t>
              </a:r>
              <a:r>
                <a:rPr lang="en-US" sz="1600" b="0" baseline="0"/>
                <a:t>. Column </a:t>
              </a:r>
              <a:r>
                <a:rPr lang="en-US" sz="1600" b="0" baseline="0">
                  <a:solidFill>
                    <a:srgbClr val="FF0000"/>
                  </a:solidFill>
                </a:rPr>
                <a:t>Q </a:t>
              </a:r>
              <a:r>
                <a:rPr lang="en-US" sz="1600" b="0" baseline="0"/>
                <a:t>computes the associated carbon. </a:t>
              </a:r>
            </a:p>
            <a:p>
              <a:endParaRPr lang="en-US" sz="1600" b="0" baseline="0"/>
            </a:p>
            <a:p>
              <a:r>
                <a:rPr lang="en-US" sz="1600" b="0" baseline="0"/>
                <a:t>4. Cells </a:t>
              </a:r>
              <a:r>
                <a:rPr lang="en-US" sz="1600" b="0" baseline="0">
                  <a:solidFill>
                    <a:srgbClr val="FF0000"/>
                  </a:solidFill>
                </a:rPr>
                <a:t>A82:W83 </a:t>
              </a:r>
              <a:r>
                <a:rPr lang="en-US" sz="1600" b="0" baseline="0"/>
                <a:t>and </a:t>
              </a:r>
              <a:r>
                <a:rPr lang="en-US" sz="1600" b="0" baseline="0">
                  <a:solidFill>
                    <a:srgbClr val="FF0000"/>
                  </a:solidFill>
                </a:rPr>
                <a:t>A84:I86 </a:t>
              </a:r>
              <a:r>
                <a:rPr lang="en-US" sz="1600" b="0" baseline="0"/>
                <a:t>carry totals. Cells </a:t>
              </a:r>
              <a:r>
                <a:rPr lang="en-US" sz="1600" b="0" baseline="0">
                  <a:solidFill>
                    <a:srgbClr val="FF0000"/>
                  </a:solidFill>
                </a:rPr>
                <a:t>B82:E84 </a:t>
              </a:r>
              <a:r>
                <a:rPr lang="en-US" sz="1600" b="0" baseline="0"/>
                <a:t>compute an average sized pine. This is for information only. no use is made elsewhere of the average.</a:t>
              </a:r>
            </a:p>
            <a:p>
              <a:endParaRPr lang="en-US" sz="1600" b="0" baseline="0"/>
            </a:p>
            <a:p>
              <a:r>
                <a:rPr lang="en-US" sz="1600" b="0" baseline="0"/>
                <a:t>5. The </a:t>
              </a:r>
              <a:r>
                <a:rPr lang="en-US" sz="1600" b="1" baseline="0"/>
                <a:t>Carbon Summaries </a:t>
              </a:r>
              <a:r>
                <a:rPr lang="en-US" sz="1600" b="0" baseline="0"/>
                <a:t>worksheet establish the stand-based densities and contain key carbon comparisons. Cells </a:t>
              </a:r>
              <a:r>
                <a:rPr lang="en-US" sz="1600" b="0" baseline="0">
                  <a:solidFill>
                    <a:srgbClr val="FF0000"/>
                  </a:solidFill>
                </a:rPr>
                <a:t>A2:C79 </a:t>
              </a:r>
              <a:r>
                <a:rPr lang="en-US" sz="1600" b="0" baseline="0"/>
                <a:t>draws the individual pine dimensions from the </a:t>
              </a:r>
              <a:r>
                <a:rPr lang="en-US" sz="1600" b="1" baseline="0"/>
                <a:t>Main</a:t>
              </a:r>
              <a:r>
                <a:rPr lang="en-US" sz="1600" b="0" baseline="0"/>
                <a:t> worksheet. Column </a:t>
              </a:r>
              <a:r>
                <a:rPr lang="en-US" sz="1600" b="0" baseline="0">
                  <a:solidFill>
                    <a:srgbClr val="FF0000"/>
                  </a:solidFill>
                </a:rPr>
                <a:t>E</a:t>
              </a:r>
              <a:r>
                <a:rPr lang="en-US" sz="1600" b="0" baseline="0"/>
                <a:t> and </a:t>
              </a:r>
              <a:r>
                <a:rPr lang="en-US" sz="1600" b="0" baseline="0">
                  <a:solidFill>
                    <a:srgbClr val="FF0000"/>
                  </a:solidFill>
                </a:rPr>
                <a:t>F</a:t>
              </a:r>
              <a:r>
                <a:rPr lang="en-US" sz="1600" b="0" baseline="0"/>
                <a:t> show carbon by tree at 150 and 50 years respectively based on the NTS model. These values are drawn directly from the </a:t>
              </a:r>
              <a:r>
                <a:rPr lang="en-US" sz="1600" b="0" baseline="0">
                  <a:solidFill>
                    <a:srgbClr val="FF0000"/>
                  </a:solidFill>
                </a:rPr>
                <a:t>Main</a:t>
              </a:r>
              <a:r>
                <a:rPr lang="en-US" sz="1600" b="0" baseline="0"/>
                <a:t> worksheet. Columns </a:t>
              </a:r>
              <a:r>
                <a:rPr lang="en-US" sz="1600" b="0" baseline="0">
                  <a:solidFill>
                    <a:srgbClr val="FF0000"/>
                  </a:solidFill>
                </a:rPr>
                <a:t>G</a:t>
              </a:r>
              <a:r>
                <a:rPr lang="en-US" sz="1600" b="0" baseline="0"/>
                <a:t>, and </a:t>
              </a:r>
              <a:r>
                <a:rPr lang="en-US" sz="1600" b="0" baseline="0">
                  <a:solidFill>
                    <a:srgbClr val="FF0000"/>
                  </a:solidFill>
                </a:rPr>
                <a:t>H</a:t>
              </a:r>
              <a:r>
                <a:rPr lang="en-US" sz="1600" b="0" baseline="0"/>
                <a:t> show carbon gain after 50 years, the total and divided into equal 50-year periods, again for the NTS model. Columns </a:t>
              </a:r>
              <a:r>
                <a:rPr lang="en-US" sz="1600" b="0" baseline="0">
                  <a:solidFill>
                    <a:srgbClr val="FF0000"/>
                  </a:solidFill>
                </a:rPr>
                <a:t>K</a:t>
              </a:r>
              <a:r>
                <a:rPr lang="en-US" sz="1600" b="0" baseline="0"/>
                <a:t> through </a:t>
              </a:r>
              <a:r>
                <a:rPr lang="en-US" sz="1600" b="0" baseline="0">
                  <a:solidFill>
                    <a:srgbClr val="FF0000"/>
                  </a:solidFill>
                </a:rPr>
                <a:t>N</a:t>
              </a:r>
              <a:r>
                <a:rPr lang="en-US" sz="1600" b="0" baseline="0"/>
                <a:t> show the FIA comparison to NTS.</a:t>
              </a:r>
            </a:p>
            <a:p>
              <a:endParaRPr lang="en-US" sz="1600" b="0" baseline="0"/>
            </a:p>
            <a:p>
              <a:r>
                <a:rPr lang="en-US" sz="1600" b="0"/>
                <a:t> 6. Rows </a:t>
              </a:r>
              <a:r>
                <a:rPr lang="en-US" sz="1600" b="0">
                  <a:solidFill>
                    <a:srgbClr val="FF0000"/>
                  </a:solidFill>
                </a:rPr>
                <a:t>80</a:t>
              </a:r>
              <a:r>
                <a:rPr lang="en-US" sz="1600" b="0"/>
                <a:t> and </a:t>
              </a:r>
              <a:r>
                <a:rPr lang="en-US" sz="1600" b="0">
                  <a:solidFill>
                    <a:srgbClr val="FF0000"/>
                  </a:solidFill>
                </a:rPr>
                <a:t>81</a:t>
              </a:r>
              <a:r>
                <a:rPr lang="en-US" sz="1600" b="0"/>
                <a:t> contain</a:t>
              </a:r>
              <a:r>
                <a:rPr lang="en-US" sz="1600" b="0" baseline="0"/>
                <a:t> totals for the columns </a:t>
              </a:r>
              <a:r>
                <a:rPr lang="en-US" sz="1600" b="0"/>
                <a:t> </a:t>
              </a:r>
              <a:r>
                <a:rPr lang="en-US" sz="1600" b="0">
                  <a:solidFill>
                    <a:srgbClr val="FF0000"/>
                  </a:solidFill>
                </a:rPr>
                <a:t>E-H</a:t>
              </a:r>
              <a:r>
                <a:rPr lang="en-US" sz="1600" b="0"/>
                <a:t>, </a:t>
              </a:r>
              <a:r>
                <a:rPr lang="en-US" sz="1600" b="0">
                  <a:solidFill>
                    <a:srgbClr val="FF0000"/>
                  </a:solidFill>
                </a:rPr>
                <a:t>K-N</a:t>
              </a:r>
              <a:r>
                <a:rPr lang="en-US" sz="1600" b="0"/>
                <a:t> for imperial and metric units.</a:t>
              </a:r>
            </a:p>
            <a:p>
              <a:endParaRPr lang="en-US" sz="1600" b="0"/>
            </a:p>
            <a:p>
              <a:r>
                <a:rPr lang="en-US" sz="1600" b="0"/>
                <a:t>7. The conclusioin regions of </a:t>
              </a:r>
              <a:r>
                <a:rPr lang="en-US" sz="1600" b="0">
                  <a:solidFill>
                    <a:srgbClr val="FF0000"/>
                  </a:solidFill>
                </a:rPr>
                <a:t>Carbon Summaries </a:t>
              </a:r>
              <a:r>
                <a:rPr lang="en-US" sz="1600" b="0"/>
                <a:t>contain some complicated features.</a:t>
              </a:r>
              <a:r>
                <a:rPr lang="en-US" sz="1600" b="0" baseline="0"/>
                <a:t> Go to cell </a:t>
              </a:r>
              <a:r>
                <a:rPr lang="en-US" sz="1600" b="0" baseline="0">
                  <a:solidFill>
                    <a:srgbClr val="FF0000"/>
                  </a:solidFill>
                </a:rPr>
                <a:t>P64</a:t>
              </a:r>
              <a:r>
                <a:rPr lang="en-US" sz="1600" b="0" baseline="0"/>
                <a:t> in that worksheet to see explanations for the methodology and derivations.</a:t>
              </a:r>
            </a:p>
            <a:p>
              <a:endParaRPr lang="en-US" sz="1600" b="0" baseline="0"/>
            </a:p>
            <a:p>
              <a:r>
                <a:rPr lang="en-US" sz="1600" b="0" baseline="0"/>
                <a:t>8. Note that in the </a:t>
              </a:r>
              <a:r>
                <a:rPr lang="en-US" sz="1600" b="1" baseline="0"/>
                <a:t>Main </a:t>
              </a:r>
              <a:r>
                <a:rPr lang="en-US" sz="1600" b="0" baseline="0"/>
                <a:t>worksheet  </a:t>
              </a:r>
              <a:r>
                <a:rPr lang="en-US" sz="1600" b="1" baseline="0">
                  <a:solidFill>
                    <a:schemeClr val="accent6">
                      <a:lumMod val="75000"/>
                    </a:schemeClr>
                  </a:solidFill>
                </a:rPr>
                <a:t>green</a:t>
              </a:r>
              <a:r>
                <a:rPr lang="en-US" sz="1600" b="0" baseline="0">
                  <a:solidFill>
                    <a:schemeClr val="accent6">
                      <a:lumMod val="50000"/>
                    </a:schemeClr>
                  </a:solidFill>
                </a:rPr>
                <a:t> and </a:t>
              </a:r>
              <a:r>
                <a:rPr lang="en-US" sz="1600" b="1" baseline="0">
                  <a:solidFill>
                    <a:schemeClr val="accent4">
                      <a:lumMod val="75000"/>
                    </a:schemeClr>
                  </a:solidFill>
                </a:rPr>
                <a:t>yellow</a:t>
              </a:r>
              <a:r>
                <a:rPr lang="en-US" sz="1600" b="0" baseline="0">
                  <a:solidFill>
                    <a:schemeClr val="accent4">
                      <a:lumMod val="75000"/>
                    </a:schemeClr>
                  </a:solidFill>
                </a:rPr>
                <a:t>-</a:t>
              </a:r>
              <a:r>
                <a:rPr lang="en-US" sz="1600" b="1" baseline="0">
                  <a:solidFill>
                    <a:schemeClr val="accent4">
                      <a:lumMod val="75000"/>
                    </a:schemeClr>
                  </a:solidFill>
                </a:rPr>
                <a:t>tan</a:t>
              </a:r>
              <a:r>
                <a:rPr lang="en-US" sz="1600" b="0" baseline="0">
                  <a:solidFill>
                    <a:schemeClr val="accent4">
                      <a:lumMod val="75000"/>
                    </a:schemeClr>
                  </a:solidFill>
                </a:rPr>
                <a:t> </a:t>
              </a:r>
              <a:r>
                <a:rPr lang="en-US" sz="1600" b="0" baseline="0"/>
                <a:t>cells are where data are entered. The green cells are for NTS data and the yellow-tan for FIA. In </a:t>
              </a:r>
              <a:r>
                <a:rPr lang="en-US" sz="1600" b="1" baseline="0"/>
                <a:t>Carbon Summaries</a:t>
              </a:r>
              <a:r>
                <a:rPr lang="en-US" sz="1600" b="0" baseline="0"/>
                <a:t>, source input data are in </a:t>
              </a:r>
              <a:r>
                <a:rPr lang="en-US" sz="1600" b="1" baseline="0">
                  <a:solidFill>
                    <a:srgbClr val="FF0000"/>
                  </a:solidFill>
                </a:rPr>
                <a:t>red font </a:t>
              </a:r>
              <a:r>
                <a:rPr lang="en-US" sz="1600" b="1" baseline="0">
                  <a:solidFill>
                    <a:schemeClr val="accent6"/>
                  </a:solidFill>
                </a:rPr>
                <a:t>within the green cells</a:t>
              </a:r>
              <a:r>
                <a:rPr lang="en-US" sz="1600" b="0" baseline="0"/>
                <a:t>.</a:t>
              </a:r>
            </a:p>
            <a:p>
              <a:endParaRPr lang="en-US" sz="1600" b="0" baseline="0"/>
            </a:p>
            <a:p>
              <a:r>
                <a:rPr lang="en-US" sz="1600" b="0" baseline="0"/>
                <a:t>9. Worksheets are protected except for data entry cells to prevent accidental erasure.  You can unprotect a worksheet by entering the command &lt;Tools&gt;&lt;Protection&gt;&lt;Unprotect&gt;.</a:t>
              </a:r>
            </a:p>
            <a:p>
              <a:endParaRPr lang="en-US" sz="1600" b="0" baseline="0"/>
            </a:p>
            <a:p>
              <a:r>
                <a:rPr lang="en-US" sz="1600" b="0" baseline="0"/>
                <a:t>10. New data can be entered into data entry cells to run a different scenario.</a:t>
              </a:r>
            </a:p>
            <a:p>
              <a:endParaRPr lang="en-US" sz="1600" b="0" baseline="0"/>
            </a:p>
            <a:p>
              <a:r>
                <a:rPr lang="en-US" sz="1600" b="1" baseline="0"/>
                <a:t>CURRENT SUMMARY of RESULTS </a:t>
              </a:r>
            </a:p>
            <a:p>
              <a:endParaRPr lang="en-US" sz="1600" b="0" baseline="0"/>
            </a:p>
            <a:p>
              <a:r>
                <a:rPr lang="en-US" sz="1600" b="0" baseline="0"/>
                <a:t>  The results from this model are shown in summary form below using the inputs mentioned above. The red font shows key comparisons between carbon in living trees at 50 years versus 150 for both the NTS amnd FIA models and for Imperial and metric units.</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25400</xdr:colOff>
      <xdr:row>0</xdr:row>
      <xdr:rowOff>12700</xdr:rowOff>
    </xdr:from>
    <xdr:to>
      <xdr:col>30</xdr:col>
      <xdr:colOff>787400</xdr:colOff>
      <xdr:row>5</xdr:row>
      <xdr:rowOff>101600</xdr:rowOff>
    </xdr:to>
    <xdr:sp macro="" textlink="">
      <xdr:nvSpPr>
        <xdr:cNvPr id="3" name="TextBox 2">
          <a:extLst>
            <a:ext uri="{FF2B5EF4-FFF2-40B4-BE49-F238E27FC236}">
              <a16:creationId xmlns:a16="http://schemas.microsoft.com/office/drawing/2014/main" id="{392FE0FB-FEBE-7D49-9456-EC25C6160957}"/>
            </a:ext>
          </a:extLst>
        </xdr:cNvPr>
        <xdr:cNvSpPr txBox="1"/>
      </xdr:nvSpPr>
      <xdr:spPr>
        <a:xfrm>
          <a:off x="16370300" y="12700"/>
          <a:ext cx="22453600" cy="223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solidFill>
                <a:schemeClr val="accent1">
                  <a:lumMod val="75000"/>
                </a:schemeClr>
              </a:solidFill>
            </a:rPr>
            <a:t>This region of the worksheet computes the carbon</a:t>
          </a:r>
          <a:r>
            <a:rPr lang="en-US" sz="1600" b="1" baseline="0">
              <a:solidFill>
                <a:schemeClr val="accent1">
                  <a:lumMod val="75000"/>
                </a:schemeClr>
              </a:solidFill>
            </a:rPr>
            <a:t> amount in trees alive at 50 years and also at 150 plus those alive at 50 years, but not 150. The latter are the suppressed trees that lose in competition with the dominant pines. The  carbon in the suppressed trees is included for the 50-year construction since the objective is to compare total carbon in living trees at 50 years as compared to 150 years. A test is performed to determine whether rotating the stand every 50 years might sequester more carbon than letting it grow for 150 years. The analysis is accomplished for live above ground biomass only. For a total carbon assessment, dead material increases with stand age and some of it is incorporated into the soil. The result is that the total amount of carbon increases dramatically over time in a stand that is left to natural processes. The rate of increase becomes a focus of attention. A continuing debate is whether or not stand rotation results in more or less carbon being sequestered. This analysis looks only at the carbon in above ground live trees as opposed to that in dead standing trees, logs on the ground, and carbon in the soil.  </a:t>
          </a:r>
        </a:p>
        <a:p>
          <a:endParaRPr lang="en-US" sz="1600" b="1" baseline="0">
            <a:solidFill>
              <a:schemeClr val="accent1">
                <a:lumMod val="75000"/>
              </a:schemeClr>
            </a:solidFill>
          </a:endParaRPr>
        </a:p>
        <a:p>
          <a:r>
            <a:rPr lang="en-US" sz="1600" b="1" baseline="0">
              <a:solidFill>
                <a:schemeClr val="accent1">
                  <a:lumMod val="75000"/>
                </a:schemeClr>
              </a:solidFill>
            </a:rPr>
            <a:t>Numerous studies show that total carbon goes up with stand age in the Northeast out to some point - probably beyond 300 years and maybe considerably longer. The big question is the rate of increase. This will be dependent on the site characteristics, climate, species mix, and individual stand history. The following analysis looks at 50 years compared to 150.  Fifty years is chosen because that is often considered the optimum stand rotation age in the Northeast. 150 years happens to be the age of the stand measured. </a:t>
          </a:r>
        </a:p>
        <a:p>
          <a:endParaRPr lang="en-US" sz="1600" b="1" baseline="0">
            <a:solidFill>
              <a:schemeClr val="accent1">
                <a:lumMod val="75000"/>
              </a:schemeClr>
            </a:solidFill>
          </a:endParaRPr>
        </a:p>
        <a:p>
          <a:endParaRPr lang="en-US" sz="1600" b="1"/>
        </a:p>
      </xdr:txBody>
    </xdr:sp>
    <xdr:clientData/>
  </xdr:twoCellAnchor>
  <xdr:twoCellAnchor>
    <xdr:from>
      <xdr:col>15</xdr:col>
      <xdr:colOff>38100</xdr:colOff>
      <xdr:row>63</xdr:row>
      <xdr:rowOff>12700</xdr:rowOff>
    </xdr:from>
    <xdr:to>
      <xdr:col>32</xdr:col>
      <xdr:colOff>368300</xdr:colOff>
      <xdr:row>97</xdr:row>
      <xdr:rowOff>25400</xdr:rowOff>
    </xdr:to>
    <xdr:sp macro="" textlink="">
      <xdr:nvSpPr>
        <xdr:cNvPr id="2" name="TextBox 1">
          <a:extLst>
            <a:ext uri="{FF2B5EF4-FFF2-40B4-BE49-F238E27FC236}">
              <a16:creationId xmlns:a16="http://schemas.microsoft.com/office/drawing/2014/main" id="{F6269AEC-EBEF-534D-B29C-6B635491423D}"/>
            </a:ext>
          </a:extLst>
        </xdr:cNvPr>
        <xdr:cNvSpPr txBox="1"/>
      </xdr:nvSpPr>
      <xdr:spPr>
        <a:xfrm>
          <a:off x="15582900" y="18161000"/>
          <a:ext cx="21640800" cy="9982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The explanation following applies</a:t>
          </a:r>
          <a:r>
            <a:rPr lang="en-US" sz="1600" b="1" baseline="0"/>
            <a:t> equally to NTS and FIA projections.  The metric carbon totals are derived directly from the Imperial ones by multiplying the Imperial tons by the factor 2000/2204.6. Cell references below generally refer to the NTS imperial option.</a:t>
          </a:r>
        </a:p>
        <a:p>
          <a:endParaRPr lang="en-US" sz="1600" b="1" baseline="0"/>
        </a:p>
        <a:p>
          <a:r>
            <a:rPr lang="en-US" sz="1600" baseline="0"/>
            <a:t>1. The concept is to construct the number of live pines on site at 50 years and determine the carbon in each. First we establish the stem count at 50 years for the area currently covered by the 76 pines. This takes three paths leading to different densities. The first count comes from the stem count from a nearby stand of 80 to 84-year old pines. The average was 70 stems/acre. This is likely low for 50 years. A 1/4th acre subsite had 104 stems when projected to a full acre. This number was used as the probable average density at 50 years for the main site under the assumption that it experienced less natural thinning thain the average. Projecting the 104 to the larger area covered by the 76 pines gives 179 stems: the full area in the main stand has 44 stems in an acre: 104(76/44) = 179. A download of FIA database stand densities for white pine based on site index and stand age for a DBH &gt;= 5 inches, gives 173 stems/acre (see </a:t>
          </a:r>
          <a:r>
            <a:rPr lang="en-US" sz="1600" b="1" baseline="0"/>
            <a:t>StandDensities-FIADB</a:t>
          </a:r>
          <a:r>
            <a:rPr lang="en-US" sz="1600" baseline="0"/>
            <a:t>). This prorates up to 298.8 stems for the area covered by the 76 pines. A third way of computing stand density at 50 years is to populate the stand with trees using an average crown radius. Cells </a:t>
          </a:r>
          <a:r>
            <a:rPr lang="en-US" sz="1600" b="1" baseline="0"/>
            <a:t>AF24:AH26 </a:t>
          </a:r>
          <a:r>
            <a:rPr lang="en-US" sz="1600" baseline="0"/>
            <a:t>compute the number of pines based on this approach. </a:t>
          </a:r>
          <a:r>
            <a:rPr lang="en-US" sz="1600" b="0" baseline="0"/>
            <a:t>The average from the three methods average is in cell </a:t>
          </a:r>
          <a:r>
            <a:rPr lang="en-US" sz="1600" b="1" baseline="0">
              <a:solidFill>
                <a:schemeClr val="tx1"/>
              </a:solidFill>
            </a:rPr>
            <a:t>U35</a:t>
          </a:r>
          <a:r>
            <a:rPr lang="en-US" sz="1600" b="0" baseline="0"/>
            <a:t>. For later calculations, we define the variable </a:t>
          </a:r>
          <a:r>
            <a:rPr lang="en-US" sz="1600" b="1" baseline="0">
              <a:solidFill>
                <a:srgbClr val="FF0000"/>
              </a:solidFill>
            </a:rPr>
            <a:t>U </a:t>
          </a:r>
          <a:r>
            <a:rPr lang="en-US" sz="1600" b="0" baseline="0"/>
            <a:t>= average of 3 estiamtes of stand density at 50 years. </a:t>
          </a:r>
          <a:r>
            <a:rPr lang="en-US" sz="1600" b="1" baseline="0"/>
            <a:t>U</a:t>
          </a:r>
          <a:r>
            <a:rPr lang="en-US" sz="1600" b="0" baseline="0"/>
            <a:t> is shown in cell </a:t>
          </a:r>
          <a:r>
            <a:rPr lang="en-US" sz="1600" b="1" baseline="0">
              <a:solidFill>
                <a:schemeClr val="tx1"/>
              </a:solidFill>
            </a:rPr>
            <a:t>U35</a:t>
          </a:r>
          <a:r>
            <a:rPr lang="en-US" sz="1600" b="0" baseline="0"/>
            <a:t>. Remember,this is the number of pines covering the area of teh 76 in the main stand. Most of the </a:t>
          </a:r>
          <a:r>
            <a:rPr lang="en-US" sz="1600" b="1" baseline="0">
              <a:solidFill>
                <a:srgbClr val="FF0000"/>
              </a:solidFill>
            </a:rPr>
            <a:t>U </a:t>
          </a:r>
          <a:r>
            <a:rPr lang="en-US" sz="1600" b="0" baseline="0"/>
            <a:t>pines will not live to 150 years, which leads us to the following.</a:t>
          </a:r>
        </a:p>
        <a:p>
          <a:endParaRPr lang="en-US" sz="1600" b="0" baseline="0"/>
        </a:p>
        <a:p>
          <a:r>
            <a:rPr lang="en-US" sz="1600" b="0" baseline="0"/>
            <a:t>2. We know the carbon in 76 of the </a:t>
          </a:r>
          <a:r>
            <a:rPr lang="en-US" sz="1600" b="1" baseline="0">
              <a:solidFill>
                <a:srgbClr val="FF0000"/>
              </a:solidFill>
            </a:rPr>
            <a:t>U</a:t>
          </a:r>
          <a:r>
            <a:rPr lang="en-US" sz="1600" b="0" baseline="0"/>
            <a:t> pines.  Let's define this amount as </a:t>
          </a:r>
          <a:r>
            <a:rPr lang="en-US" sz="1600" b="1" baseline="0">
              <a:solidFill>
                <a:srgbClr val="FF0000"/>
              </a:solidFill>
            </a:rPr>
            <a:t>A</a:t>
          </a:r>
          <a:r>
            <a:rPr lang="en-US" sz="1600" b="0" baseline="0"/>
            <a:t>. It is shown in cell </a:t>
          </a:r>
          <a:r>
            <a:rPr lang="en-US" sz="1600" b="1" baseline="0">
              <a:solidFill>
                <a:schemeClr val="tx1"/>
              </a:solidFill>
            </a:rPr>
            <a:t>F80, </a:t>
          </a:r>
          <a:r>
            <a:rPr lang="en-US" sz="1600" b="0" baseline="0">
              <a:solidFill>
                <a:schemeClr val="tx1"/>
              </a:solidFill>
            </a:rPr>
            <a:t>which</a:t>
          </a:r>
          <a:r>
            <a:rPr lang="en-US" sz="1600" b="1" baseline="0">
              <a:solidFill>
                <a:schemeClr val="tx1"/>
              </a:solidFill>
            </a:rPr>
            <a:t> </a:t>
          </a:r>
          <a:r>
            <a:rPr lang="en-US" sz="1600" b="0" baseline="0">
              <a:solidFill>
                <a:schemeClr val="tx1"/>
              </a:solidFill>
            </a:rPr>
            <a:t>computes carbon at age 50 for the 76 pines.</a:t>
          </a:r>
          <a:r>
            <a:rPr lang="en-US" sz="1600" b="0" baseline="0"/>
            <a:t> The question is how much carbon is in the remaining pines (the difference between cell </a:t>
          </a:r>
          <a:r>
            <a:rPr lang="en-US" sz="1600" b="1" baseline="0"/>
            <a:t>U35</a:t>
          </a:r>
          <a:r>
            <a:rPr lang="en-US" sz="1600" b="0" baseline="0"/>
            <a:t> and 76, which will likely come from small, suppressed trees that lose out in the competition. </a:t>
          </a:r>
        </a:p>
        <a:p>
          <a:endParaRPr lang="en-US" sz="1600" b="0" baseline="0"/>
        </a:p>
        <a:p>
          <a:r>
            <a:rPr lang="en-US" sz="1600" b="0" baseline="0"/>
            <a:t>3. To estimate the average size of a suppressed pine at age 50 to be applied to pines alive at 50, but not 150 years, we specify a proportion </a:t>
          </a:r>
          <a:r>
            <a:rPr lang="en-US" sz="1600" b="1" baseline="0">
              <a:solidFill>
                <a:srgbClr val="FF0000"/>
              </a:solidFill>
            </a:rPr>
            <a:t>P</a:t>
          </a:r>
          <a:r>
            <a:rPr lang="en-US" sz="1600" b="0" baseline="0"/>
            <a:t> (cell </a:t>
          </a:r>
          <a:r>
            <a:rPr lang="en-US" sz="1600" b="1" baseline="0">
              <a:solidFill>
                <a:schemeClr val="tx1"/>
              </a:solidFill>
            </a:rPr>
            <a:t>AA10)</a:t>
          </a:r>
          <a:r>
            <a:rPr lang="en-US" sz="1600" b="0" baseline="0"/>
            <a:t> of the 76 pines that will act as surrogates for the suppressed pines. We first set an upper limit of size for the suppressed pines. We compute the range of individual tree carbon values at age 50 for all 76 pines using the Excel Max and Min functions. We define the max and min values as </a:t>
          </a:r>
          <a:r>
            <a:rPr lang="en-US" sz="1600" b="1" baseline="0">
              <a:solidFill>
                <a:srgbClr val="FF0000"/>
              </a:solidFill>
            </a:rPr>
            <a:t>M</a:t>
          </a:r>
          <a:r>
            <a:rPr lang="en-US" sz="1600" b="0" baseline="0"/>
            <a:t> and </a:t>
          </a:r>
          <a:r>
            <a:rPr lang="en-US" sz="1600" b="1" baseline="0">
              <a:solidFill>
                <a:srgbClr val="FF0000"/>
              </a:solidFill>
            </a:rPr>
            <a:t>m</a:t>
          </a:r>
          <a:r>
            <a:rPr lang="en-US" sz="1600" b="0" baseline="0">
              <a:solidFill>
                <a:schemeClr val="dk1"/>
              </a:solidFill>
            </a:rPr>
            <a:t>. We now set the maximum value for suppressed pines as</a:t>
          </a:r>
          <a:r>
            <a:rPr lang="en-US" sz="1600" b="0" baseline="0"/>
            <a:t>  </a:t>
          </a:r>
          <a:r>
            <a:rPr lang="en-US" sz="1600" b="1" baseline="0">
              <a:solidFill>
                <a:srgbClr val="FF0000"/>
              </a:solidFill>
            </a:rPr>
            <a:t>V = m + (M-m)P</a:t>
          </a:r>
          <a:r>
            <a:rPr lang="en-US" sz="1600" b="1" baseline="0">
              <a:solidFill>
                <a:schemeClr val="tx1"/>
              </a:solidFill>
            </a:rPr>
            <a:t>. </a:t>
          </a:r>
          <a:r>
            <a:rPr lang="en-US" sz="1600" b="0" baseline="0">
              <a:solidFill>
                <a:schemeClr val="tx1"/>
              </a:solidFill>
            </a:rPr>
            <a:t>Our next step is to compute the average size of pines in column </a:t>
          </a:r>
          <a:r>
            <a:rPr lang="en-US" sz="1600" b="1" baseline="0">
              <a:solidFill>
                <a:schemeClr val="tx1"/>
              </a:solidFill>
            </a:rPr>
            <a:t>F</a:t>
          </a:r>
          <a:r>
            <a:rPr lang="en-US" sz="1600" b="0" baseline="0">
              <a:solidFill>
                <a:schemeClr val="tx1"/>
              </a:solidFill>
            </a:rPr>
            <a:t> that fall below </a:t>
          </a:r>
          <a:r>
            <a:rPr lang="en-US" sz="1600" b="1" baseline="0">
              <a:solidFill>
                <a:srgbClr val="FF0000"/>
              </a:solidFill>
            </a:rPr>
            <a:t>V</a:t>
          </a:r>
          <a:r>
            <a:rPr lang="en-US" sz="1600" b="0" baseline="0">
              <a:solidFill>
                <a:schemeClr val="tx1"/>
              </a:solidFill>
            </a:rPr>
            <a:t>. We use the Excel database functions for this. We define the result as </a:t>
          </a:r>
          <a:r>
            <a:rPr lang="en-US" sz="1600" b="1" baseline="0">
              <a:solidFill>
                <a:srgbClr val="FF0000"/>
              </a:solidFill>
            </a:rPr>
            <a:t>B</a:t>
          </a:r>
          <a:r>
            <a:rPr lang="en-US" sz="1600" b="0" baseline="0">
              <a:solidFill>
                <a:schemeClr val="tx1"/>
              </a:solidFill>
            </a:rPr>
            <a:t> (cell </a:t>
          </a:r>
          <a:r>
            <a:rPr lang="en-US" sz="1600" b="1" baseline="0">
              <a:solidFill>
                <a:schemeClr val="tx1"/>
              </a:solidFill>
            </a:rPr>
            <a:t>AB10</a:t>
          </a:r>
          <a:r>
            <a:rPr lang="en-US" sz="1600" b="0" baseline="0">
              <a:solidFill>
                <a:schemeClr val="tx1"/>
              </a:solidFill>
            </a:rPr>
            <a:t>).</a:t>
          </a:r>
        </a:p>
        <a:p>
          <a:endParaRPr lang="en-US" sz="1600" b="0" baseline="0"/>
        </a:p>
        <a:p>
          <a:r>
            <a:rPr lang="en-US" sz="1600" b="0" baseline="0"/>
            <a:t>4. Our next step is to compute the number of pines that will be of this average size </a:t>
          </a:r>
          <a:r>
            <a:rPr lang="en-US" sz="1600" b="1" baseline="0">
              <a:solidFill>
                <a:srgbClr val="FF0000"/>
              </a:solidFill>
            </a:rPr>
            <a:t>B</a:t>
          </a:r>
          <a:r>
            <a:rPr lang="en-US" sz="1600" b="0" baseline="0"/>
            <a:t>. The total number of pines growing at 50 years is </a:t>
          </a:r>
          <a:r>
            <a:rPr lang="en-US" sz="1600" b="1" baseline="0">
              <a:solidFill>
                <a:srgbClr val="FF0000"/>
              </a:solidFill>
            </a:rPr>
            <a:t>U. </a:t>
          </a:r>
          <a:r>
            <a:rPr lang="en-US" sz="1600" b="0" baseline="0"/>
            <a:t>We can account for 76 of this number. They are the pines growing presently. The remainder </a:t>
          </a:r>
          <a:r>
            <a:rPr lang="en-US" sz="1600" b="1" baseline="0">
              <a:solidFill>
                <a:srgbClr val="FF0000"/>
              </a:solidFill>
            </a:rPr>
            <a:t>U - 76 </a:t>
          </a:r>
          <a:r>
            <a:rPr lang="en-US" sz="1600" b="0" baseline="0"/>
            <a:t>will be assigned the size of </a:t>
          </a:r>
          <a:r>
            <a:rPr lang="en-US" sz="1600" b="1" baseline="0">
              <a:solidFill>
                <a:srgbClr val="FF0000"/>
              </a:solidFill>
            </a:rPr>
            <a:t>B</a:t>
          </a:r>
          <a:r>
            <a:rPr lang="en-US" sz="1600" b="0" baseline="0">
              <a:solidFill>
                <a:schemeClr val="dk1"/>
              </a:solidFill>
            </a:rPr>
            <a:t>. The amount of carbon they hold is </a:t>
          </a:r>
          <a:r>
            <a:rPr lang="en-US" sz="1600" b="1" baseline="0">
              <a:solidFill>
                <a:srgbClr val="FF0000"/>
              </a:solidFill>
            </a:rPr>
            <a:t>B(U -76)</a:t>
          </a:r>
          <a:r>
            <a:rPr lang="en-US" sz="1600" b="0" baseline="0">
              <a:solidFill>
                <a:schemeClr val="dk1"/>
              </a:solidFill>
            </a:rPr>
            <a:t> and is added to the amount at age 50 of the 76 pines as shown in cell </a:t>
          </a:r>
          <a:r>
            <a:rPr lang="en-US" sz="1600" b="1" baseline="0">
              <a:solidFill>
                <a:schemeClr val="dk1"/>
              </a:solidFill>
            </a:rPr>
            <a:t>S36</a:t>
          </a:r>
          <a:r>
            <a:rPr lang="en-US" sz="1600" b="0" baseline="0">
              <a:solidFill>
                <a:schemeClr val="dk1"/>
              </a:solidFill>
            </a:rPr>
            <a:t>. The result is in cell </a:t>
          </a:r>
          <a:r>
            <a:rPr lang="en-US" sz="1600" b="1" baseline="0">
              <a:solidFill>
                <a:schemeClr val="dk1"/>
              </a:solidFill>
            </a:rPr>
            <a:t>V35</a:t>
          </a:r>
          <a:r>
            <a:rPr lang="en-US" sz="1600" b="0" baseline="0">
              <a:solidFill>
                <a:schemeClr val="dk1"/>
              </a:solidFill>
            </a:rPr>
            <a:t>. </a:t>
          </a:r>
          <a:r>
            <a:rPr lang="en-US" sz="1600" b="0" baseline="0"/>
            <a:t> </a:t>
          </a:r>
        </a:p>
        <a:p>
          <a:endParaRPr lang="en-US" sz="1600" b="0" baseline="0"/>
        </a:p>
        <a:p>
          <a:r>
            <a:rPr lang="en-US" sz="1600" b="0" baseline="0"/>
            <a:t>5. We now have an estimate of how much carbon is in the living pines at age 50. The amount is in cell </a:t>
          </a:r>
          <a:r>
            <a:rPr lang="en-US" sz="1600" b="1" baseline="0"/>
            <a:t>V35</a:t>
          </a:r>
          <a:r>
            <a:rPr lang="en-US" sz="1600" b="0" baseline="0"/>
            <a:t>. Increasing this amount by a factor of three (150/50) allows us to make a comparison to the carbon present at 150 years, which is in cell </a:t>
          </a:r>
          <a:r>
            <a:rPr lang="en-US" sz="1600" b="1" baseline="0"/>
            <a:t>S47</a:t>
          </a:r>
          <a:r>
            <a:rPr lang="en-US" sz="1600" b="0" baseline="0"/>
            <a:t>. The ratio is shown in cell </a:t>
          </a:r>
          <a:r>
            <a:rPr lang="en-US" sz="1600" b="1" baseline="0"/>
            <a:t>T47</a:t>
          </a:r>
          <a:r>
            <a:rPr lang="en-US" sz="1600" b="0" baseline="0"/>
            <a:t>. The carbon amount changes by the factor in </a:t>
          </a:r>
          <a:r>
            <a:rPr lang="en-US" sz="1600" b="1" baseline="0"/>
            <a:t>T47</a:t>
          </a:r>
          <a:r>
            <a:rPr lang="en-US" sz="1600" b="0" baseline="0"/>
            <a:t> while the age changes by a factor of three.  However, this assumes that no carbon is lost in the three rotations. Here is a more realistic comparison.</a:t>
          </a:r>
        </a:p>
        <a:p>
          <a:endParaRPr lang="en-US" sz="1600" b="0" baseline="0"/>
        </a:p>
        <a:p>
          <a:r>
            <a:rPr lang="en-US" sz="1600" b="0" baseline="0"/>
            <a:t>Suppose the stand is clearcut every 50 years. Would we get 3(</a:t>
          </a:r>
          <a:r>
            <a:rPr lang="en-US" sz="1600" b="1" baseline="0"/>
            <a:t>R47</a:t>
          </a:r>
          <a:r>
            <a:rPr lang="en-US" sz="1600" b="0" baseline="0"/>
            <a:t>) tons of sequestered carbon? Yes, if none of the wood decays, or if it is not burned. However, tracing the wood after cutting suggests that most of it is gone in 100 years. Less would be gone of the timber cut 50 years ago, and most would probably be present at the last cutting. The proportions remaining can be specified for determing the total carbon present after the three rotations. The proportions are shown in cells </a:t>
          </a:r>
          <a:r>
            <a:rPr lang="en-US" sz="1600" b="1" baseline="0"/>
            <a:t>R52:R54</a:t>
          </a:r>
          <a:r>
            <a:rPr lang="en-US" sz="1600" b="0" baseline="0"/>
            <a:t>. The corresponding tonnages are in </a:t>
          </a:r>
          <a:r>
            <a:rPr lang="en-US" sz="1600" b="1" baseline="0"/>
            <a:t>S52:S54 </a:t>
          </a:r>
          <a:r>
            <a:rPr lang="en-US" sz="1600" b="0" baseline="0"/>
            <a:t>and the total in </a:t>
          </a:r>
          <a:r>
            <a:rPr lang="en-US" sz="1600" b="1" baseline="0"/>
            <a:t>S55</a:t>
          </a:r>
          <a:r>
            <a:rPr lang="en-US" sz="1600" b="0" baseline="0"/>
            <a:t>. The result provides a comparison of the carbon effectiveness of stand rotations comparing carbon in living trees at age 150 to that held in the wood based on three stand rotations. The ratio of the carbon present at 150 years compared to that still existing after 3 rotations is in cell </a:t>
          </a:r>
          <a:r>
            <a:rPr lang="en-US" sz="1600" b="1" baseline="0"/>
            <a:t>U61</a:t>
          </a:r>
          <a:r>
            <a:rPr lang="en-US" sz="1600" b="0" baseline="0"/>
            <a:t>. The corresponding cell for the FIA determination is in cell </a:t>
          </a:r>
          <a:r>
            <a:rPr lang="en-US" sz="1600" b="1" baseline="0"/>
            <a:t>AA61</a:t>
          </a:r>
          <a:r>
            <a:rPr lang="en-US" sz="1600" b="0" baseline="0"/>
            <a:t>. </a:t>
          </a:r>
          <a:endParaRPr lang="en-US" sz="1600" baseline="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139700</xdr:rowOff>
    </xdr:from>
    <xdr:to>
      <xdr:col>28</xdr:col>
      <xdr:colOff>164100</xdr:colOff>
      <xdr:row>44</xdr:row>
      <xdr:rowOff>50800</xdr:rowOff>
    </xdr:to>
    <xdr:pic>
      <xdr:nvPicPr>
        <xdr:cNvPr id="2" name="Picture 1">
          <a:extLst>
            <a:ext uri="{FF2B5EF4-FFF2-40B4-BE49-F238E27FC236}">
              <a16:creationId xmlns:a16="http://schemas.microsoft.com/office/drawing/2014/main" id="{67091FCD-066D-9543-9AE6-481D66582561}"/>
            </a:ext>
          </a:extLst>
        </xdr:cNvPr>
        <xdr:cNvPicPr>
          <a:picLocks noChangeAspect="1"/>
        </xdr:cNvPicPr>
      </xdr:nvPicPr>
      <xdr:blipFill>
        <a:blip xmlns:r="http://schemas.openxmlformats.org/officeDocument/2006/relationships" r:embed="rId1"/>
        <a:stretch>
          <a:fillRect/>
        </a:stretch>
      </xdr:blipFill>
      <xdr:spPr>
        <a:xfrm>
          <a:off x="38100" y="139700"/>
          <a:ext cx="23240000" cy="8851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4D8EBA-C9BD-3A43-B118-C4F5D83625C1}">
  <dimension ref="C63:N68"/>
  <sheetViews>
    <sheetView tabSelected="1" topLeftCell="A25" workbookViewId="0">
      <selection activeCell="H77" sqref="H77"/>
    </sheetView>
  </sheetViews>
  <sheetFormatPr baseColWidth="10" defaultRowHeight="16"/>
  <cols>
    <col min="3" max="3" width="12.83203125" customWidth="1"/>
    <col min="4" max="4" width="13.5" bestFit="1" customWidth="1"/>
    <col min="5" max="5" width="11" bestFit="1" customWidth="1"/>
    <col min="6" max="6" width="12.5" customWidth="1"/>
    <col min="7" max="8" width="17.5" bestFit="1" customWidth="1"/>
    <col min="9" max="9" width="13.1640625" customWidth="1"/>
    <col min="10" max="10" width="13.5" bestFit="1" customWidth="1"/>
    <col min="11" max="11" width="11" bestFit="1" customWidth="1"/>
    <col min="12" max="12" width="12.1640625" customWidth="1"/>
    <col min="13" max="14" width="17.5" bestFit="1" customWidth="1"/>
  </cols>
  <sheetData>
    <row r="63" spans="3:14" ht="17" thickBot="1"/>
    <row r="64" spans="3:14" ht="60">
      <c r="C64" s="293" t="str">
        <f>'Carbon Summaries'!C94</f>
        <v>NTS - 150-yr projection to an acre</v>
      </c>
      <c r="D64" s="294"/>
      <c r="E64" s="294"/>
      <c r="F64" s="294"/>
      <c r="G64" s="294"/>
      <c r="H64" s="295"/>
      <c r="I64" s="293" t="str">
        <f>'Carbon Summaries'!I94</f>
        <v>FIA - 150-yr projection to an acre</v>
      </c>
      <c r="J64" s="294"/>
      <c r="K64" s="294"/>
      <c r="L64" s="294"/>
      <c r="M64" s="294"/>
      <c r="N64" s="295"/>
    </row>
    <row r="65" spans="3:14" ht="60">
      <c r="C65" s="296" t="str">
        <f>'Carbon Summaries'!C95</f>
        <v>Per Acre Calculations at 150</v>
      </c>
      <c r="D65" s="291"/>
      <c r="E65" s="291"/>
      <c r="F65" s="291"/>
      <c r="G65" s="291" t="str">
        <f>'Carbon Summaries'!G95</f>
        <v>at 150 yrs</v>
      </c>
      <c r="H65" s="297" t="str">
        <f>'Carbon Summaries'!H95</f>
        <v>at 50 yrs</v>
      </c>
      <c r="I65" s="296" t="str">
        <f>'Carbon Summaries'!I95</f>
        <v>Per Acre Calculations at 150</v>
      </c>
      <c r="J65" s="291"/>
      <c r="K65" s="291"/>
      <c r="L65" s="291"/>
      <c r="M65" s="291" t="str">
        <f>'Carbon Summaries'!M95</f>
        <v>at 150 yrs</v>
      </c>
      <c r="N65" s="297" t="str">
        <f>'Carbon Summaries'!N95</f>
        <v>at 50 yrs</v>
      </c>
    </row>
    <row r="66" spans="3:14" ht="40">
      <c r="C66" s="296"/>
      <c r="D66" s="291" t="str">
        <f>'Carbon Summaries'!D96</f>
        <v>Tot Tons</v>
      </c>
      <c r="E66" s="291" t="str">
        <f>'Carbon Summaries'!E96</f>
        <v>Tot Stem count</v>
      </c>
      <c r="F66" s="291" t="str">
        <f>'Carbon Summaries'!F96</f>
        <v>Stems/acre</v>
      </c>
      <c r="G66" s="291" t="str">
        <f>'Carbon Summaries'!G96</f>
        <v>Tons/acre</v>
      </c>
      <c r="H66" s="297" t="str">
        <f>'Carbon Summaries'!H96</f>
        <v>Tons/acre</v>
      </c>
      <c r="I66" s="296"/>
      <c r="J66" s="291" t="str">
        <f>'Carbon Summaries'!J96</f>
        <v>Tot Tons</v>
      </c>
      <c r="K66" s="291" t="str">
        <f>'Carbon Summaries'!K96</f>
        <v>Tot Stem count</v>
      </c>
      <c r="L66" s="291" t="str">
        <f>'Carbon Summaries'!L96</f>
        <v>Stems/acre</v>
      </c>
      <c r="M66" s="291" t="str">
        <f>'Carbon Summaries'!M96</f>
        <v>Tons/acre</v>
      </c>
      <c r="N66" s="297" t="str">
        <f>'Carbon Summaries'!N96</f>
        <v>Tons/acre</v>
      </c>
    </row>
    <row r="67" spans="3:14" ht="41">
      <c r="C67" s="296" t="str">
        <f>'Carbon Summaries'!C97</f>
        <v>Total Imperial</v>
      </c>
      <c r="D67" s="291">
        <f>'Carbon Summaries'!D97</f>
        <v>156.13391479112514</v>
      </c>
      <c r="E67" s="291">
        <f>'Carbon Summaries'!E97</f>
        <v>76</v>
      </c>
      <c r="F67" s="291">
        <f>'Carbon Summaries'!F97</f>
        <v>44</v>
      </c>
      <c r="G67" s="292">
        <f>'Carbon Summaries'!G97</f>
        <v>90.393319089598762</v>
      </c>
      <c r="H67" s="298">
        <f>'Carbon Summaries'!H97</f>
        <v>27.313275378952383</v>
      </c>
      <c r="I67" s="296" t="str">
        <f>'Carbon Summaries'!I97</f>
        <v>Total Imperial</v>
      </c>
      <c r="J67" s="291">
        <f>'Carbon Summaries'!J97</f>
        <v>160.53010559999998</v>
      </c>
      <c r="K67" s="291">
        <f>'Carbon Summaries'!K97</f>
        <v>76</v>
      </c>
      <c r="L67" s="291">
        <f>'Carbon Summaries'!L97</f>
        <v>44</v>
      </c>
      <c r="M67" s="292">
        <f>'Carbon Summaries'!M97</f>
        <v>92.938482189473675</v>
      </c>
      <c r="N67" s="298">
        <f>'Carbon Summaries'!N97</f>
        <v>30.617939768201051</v>
      </c>
    </row>
    <row r="68" spans="3:14" ht="42" thickBot="1">
      <c r="C68" s="299" t="str">
        <f>'Carbon Summaries'!C98</f>
        <v>Total Metric</v>
      </c>
      <c r="D68" s="300">
        <f>'Carbon Summaries'!D98</f>
        <v>141.64375831545419</v>
      </c>
      <c r="E68" s="300">
        <f>'Carbon Summaries'!E98</f>
        <v>76</v>
      </c>
      <c r="F68" s="300">
        <f>'Carbon Summaries'!F98</f>
        <v>44</v>
      </c>
      <c r="G68" s="301">
        <f>'Carbon Summaries'!G98</f>
        <v>82.004281129999796</v>
      </c>
      <c r="H68" s="302">
        <f>'Carbon Summaries'!H98</f>
        <v>24.778440877213448</v>
      </c>
      <c r="I68" s="299" t="str">
        <f>'Carbon Summaries'!I98</f>
        <v>Total Metric</v>
      </c>
      <c r="J68" s="300">
        <f>'Carbon Summaries'!J98</f>
        <v>145.63195645468565</v>
      </c>
      <c r="K68" s="300">
        <f>'Carbon Summaries'!K98</f>
        <v>76</v>
      </c>
      <c r="L68" s="300">
        <f>'Carbon Summaries'!L98</f>
        <v>44</v>
      </c>
      <c r="M68" s="301">
        <f>'Carbon Summaries'!M98</f>
        <v>84.313237947449593</v>
      </c>
      <c r="N68" s="302">
        <f>'Carbon Summaries'!N98</f>
        <v>27.776412744444393</v>
      </c>
    </row>
  </sheetData>
  <sheetProtection sheet="1" objects="1" scenario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BB7DC-8D1D-2246-9796-DA593F184BB1}">
  <dimension ref="A1:AC85"/>
  <sheetViews>
    <sheetView workbookViewId="0">
      <pane ySplit="3" topLeftCell="A4" activePane="bottomLeft" state="frozen"/>
      <selection activeCell="I1" sqref="I1"/>
      <selection pane="bottomLeft" activeCell="J90" sqref="J90"/>
    </sheetView>
  </sheetViews>
  <sheetFormatPr baseColWidth="10" defaultRowHeight="16"/>
  <cols>
    <col min="1" max="1" width="9.83203125" customWidth="1"/>
    <col min="2" max="2" width="10" customWidth="1"/>
    <col min="3" max="3" width="10.5" customWidth="1"/>
    <col min="4" max="4" width="13.33203125" style="20" customWidth="1"/>
    <col min="6" max="6" width="15.83203125" customWidth="1"/>
    <col min="7" max="7" width="24.6640625" customWidth="1"/>
    <col min="8" max="8" width="19.6640625" customWidth="1"/>
    <col min="9" max="9" width="16.6640625" customWidth="1"/>
    <col min="10" max="10" width="17.83203125" customWidth="1"/>
    <col min="11" max="11" width="21.5" customWidth="1"/>
    <col min="12" max="12" width="17.33203125" customWidth="1"/>
    <col min="13" max="13" width="24" customWidth="1"/>
    <col min="14" max="24" width="15.6640625" customWidth="1"/>
  </cols>
  <sheetData>
    <row r="1" spans="1:24" ht="25" thickBot="1">
      <c r="A1" s="31" t="s">
        <v>22</v>
      </c>
      <c r="B1" s="6"/>
      <c r="C1" s="6"/>
      <c r="D1" s="16"/>
      <c r="E1" s="6"/>
      <c r="F1" s="6"/>
      <c r="G1" s="6"/>
      <c r="H1" s="226" t="s">
        <v>33</v>
      </c>
      <c r="I1" s="45" t="s">
        <v>97</v>
      </c>
      <c r="J1" s="45" t="s">
        <v>96</v>
      </c>
      <c r="K1" s="36">
        <v>1.1499999999999999</v>
      </c>
      <c r="L1" s="36" t="s">
        <v>32</v>
      </c>
      <c r="M1" s="36" t="s">
        <v>98</v>
      </c>
      <c r="N1" s="228">
        <v>24</v>
      </c>
      <c r="O1" s="36" t="s">
        <v>99</v>
      </c>
      <c r="P1" s="228">
        <v>0.48</v>
      </c>
      <c r="Q1" s="36" t="s">
        <v>94</v>
      </c>
      <c r="R1" s="7"/>
      <c r="S1" s="7"/>
      <c r="T1" s="7"/>
      <c r="U1" s="45" t="s">
        <v>95</v>
      </c>
      <c r="V1" s="45"/>
      <c r="W1" s="45"/>
      <c r="X1" s="45"/>
    </row>
    <row r="2" spans="1:24" ht="45" thickBot="1">
      <c r="A2" s="30"/>
      <c r="B2" s="11" t="s">
        <v>4</v>
      </c>
      <c r="C2" s="12" t="s">
        <v>4</v>
      </c>
      <c r="D2" s="17"/>
      <c r="E2" s="12" t="s">
        <v>4</v>
      </c>
      <c r="F2" s="289" t="s">
        <v>137</v>
      </c>
      <c r="G2" s="13" t="s">
        <v>28</v>
      </c>
      <c r="H2" s="14" t="s">
        <v>93</v>
      </c>
      <c r="I2" s="13" t="s">
        <v>29</v>
      </c>
      <c r="J2" s="14" t="s">
        <v>92</v>
      </c>
      <c r="K2" s="14" t="s">
        <v>25</v>
      </c>
      <c r="L2" s="14" t="s">
        <v>27</v>
      </c>
      <c r="M2" s="14" t="s">
        <v>27</v>
      </c>
      <c r="N2" s="14" t="s">
        <v>27</v>
      </c>
      <c r="O2" s="14" t="s">
        <v>27</v>
      </c>
      <c r="P2" s="14"/>
      <c r="Q2" s="14" t="s">
        <v>21</v>
      </c>
      <c r="R2" s="14"/>
      <c r="S2" s="14"/>
      <c r="T2" s="14"/>
      <c r="U2" s="14" t="s">
        <v>21</v>
      </c>
      <c r="V2" s="13"/>
      <c r="W2" s="13"/>
      <c r="X2" s="13"/>
    </row>
    <row r="3" spans="1:24" s="15" customFormat="1" ht="44">
      <c r="A3" s="29" t="s">
        <v>0</v>
      </c>
      <c r="B3" s="27" t="s">
        <v>1</v>
      </c>
      <c r="C3" s="27" t="s">
        <v>6</v>
      </c>
      <c r="D3" s="28" t="s">
        <v>7</v>
      </c>
      <c r="E3" s="27" t="s">
        <v>3</v>
      </c>
      <c r="F3" s="27"/>
      <c r="G3" s="27" t="s">
        <v>10</v>
      </c>
      <c r="H3" s="27" t="s">
        <v>11</v>
      </c>
      <c r="I3" s="27" t="s">
        <v>10</v>
      </c>
      <c r="J3" s="27" t="s">
        <v>11</v>
      </c>
      <c r="K3" s="27" t="s">
        <v>24</v>
      </c>
      <c r="L3" s="27" t="s">
        <v>26</v>
      </c>
      <c r="M3" s="27" t="s">
        <v>23</v>
      </c>
      <c r="N3" s="27" t="s">
        <v>15</v>
      </c>
      <c r="O3" s="27" t="s">
        <v>16</v>
      </c>
      <c r="P3" s="27" t="s">
        <v>17</v>
      </c>
      <c r="Q3" s="27" t="s">
        <v>18</v>
      </c>
      <c r="R3" s="27" t="s">
        <v>40</v>
      </c>
      <c r="S3" s="27" t="s">
        <v>19</v>
      </c>
      <c r="T3" s="27" t="s">
        <v>20</v>
      </c>
      <c r="U3" s="27" t="s">
        <v>18</v>
      </c>
      <c r="V3" s="27" t="s">
        <v>40</v>
      </c>
      <c r="W3" s="27" t="s">
        <v>19</v>
      </c>
      <c r="X3" s="43" t="s">
        <v>20</v>
      </c>
    </row>
    <row r="4" spans="1:24" ht="19">
      <c r="A4" s="1">
        <v>58</v>
      </c>
      <c r="B4" s="2">
        <v>10.826772</v>
      </c>
      <c r="C4" s="67">
        <f t="shared" ref="C4:C35" si="0">B4/PI()</f>
        <v>3.4462685630578518</v>
      </c>
      <c r="D4" s="18">
        <v>0.40550000000000003</v>
      </c>
      <c r="E4" s="2">
        <v>176.2</v>
      </c>
      <c r="F4" s="2">
        <v>0</v>
      </c>
      <c r="G4" s="67">
        <f>(B4^2/(4*PI()))*E4*D4*$K$1*(1-F4)</f>
        <v>766.44804567250458</v>
      </c>
      <c r="H4" s="67">
        <f t="shared" ref="H4:H26" si="1">G4*0.00576</f>
        <v>4.4147407430736267</v>
      </c>
      <c r="I4" s="37">
        <v>803.23</v>
      </c>
      <c r="J4" s="67">
        <f>I4*0.00576</f>
        <v>4.6266048</v>
      </c>
      <c r="K4" s="2">
        <v>7.0000000000000007E-2</v>
      </c>
      <c r="L4" s="2">
        <v>0.7</v>
      </c>
      <c r="M4" s="67">
        <f t="shared" ref="M4:M35" si="2">N4*PI()</f>
        <v>6.7950614278930992</v>
      </c>
      <c r="N4" s="67">
        <f t="shared" ref="N4:N35" si="3">C4-(K4*2)/12*110</f>
        <v>2.1629352297245186</v>
      </c>
      <c r="O4" s="67">
        <f>E4-L4*110</f>
        <v>99.199999999999989</v>
      </c>
      <c r="P4" s="2">
        <v>0.4</v>
      </c>
      <c r="Q4" s="67">
        <f>PI()*(N4^2/4)*O4*P4*$K$1</f>
        <v>167.66654457807104</v>
      </c>
      <c r="R4" s="67">
        <f>Q4*0.00576</f>
        <v>0.9657592967696893</v>
      </c>
      <c r="S4" s="67">
        <f t="shared" ref="S4:S35" si="4">G4-Q4</f>
        <v>598.78150109443357</v>
      </c>
      <c r="T4" s="67">
        <f t="shared" ref="T4:T35" si="5">S4/(160/50)</f>
        <v>187.11921909201047</v>
      </c>
      <c r="U4" s="37">
        <v>195.63</v>
      </c>
      <c r="V4" s="67">
        <f t="shared" ref="V4:V13" si="6">U4*0.00576</f>
        <v>1.1268288</v>
      </c>
      <c r="W4" s="67">
        <f t="shared" ref="W4:W35" si="7">I4-U4</f>
        <v>607.6</v>
      </c>
      <c r="X4" s="67">
        <f t="shared" ref="X4" si="8">W4/(160/50)</f>
        <v>189.875</v>
      </c>
    </row>
    <row r="5" spans="1:24" ht="19">
      <c r="A5" s="1">
        <v>77</v>
      </c>
      <c r="B5" s="2">
        <v>11.2</v>
      </c>
      <c r="C5" s="67">
        <f t="shared" si="0"/>
        <v>3.5650707252584555</v>
      </c>
      <c r="D5" s="18">
        <f t="shared" ref="D5:D36" si="9">(6/E5)*0.25+(1/3)*(0.45)+(1-(0.45)-(6/E5))*0.5</f>
        <v>0.41539077514413836</v>
      </c>
      <c r="E5" s="2">
        <v>156.1</v>
      </c>
      <c r="F5" s="290">
        <v>0</v>
      </c>
      <c r="G5" s="67">
        <f t="shared" ref="G5:G68" si="10">(B5^2/(4*PI()))*E5*D5*$K$1*(1-F5)</f>
        <v>744.36127717827981</v>
      </c>
      <c r="H5" s="67">
        <f t="shared" si="1"/>
        <v>4.2875209565468921</v>
      </c>
      <c r="I5" s="37">
        <v>763</v>
      </c>
      <c r="J5" s="67">
        <f t="shared" ref="J5:J13" si="11">I5*0.00576</f>
        <v>4.3948800000000006</v>
      </c>
      <c r="K5" s="2">
        <v>7.0000000000000007E-2</v>
      </c>
      <c r="L5" s="2">
        <v>0.7</v>
      </c>
      <c r="M5" s="67">
        <f t="shared" si="2"/>
        <v>7.1682894278930984</v>
      </c>
      <c r="N5" s="67">
        <f t="shared" si="3"/>
        <v>2.2817373919251223</v>
      </c>
      <c r="O5" s="67">
        <f t="shared" ref="O5:O68" si="12">E5-L5*110</f>
        <v>79.099999999999994</v>
      </c>
      <c r="P5" s="2">
        <v>0.4</v>
      </c>
      <c r="Q5" s="67">
        <f t="shared" ref="Q5:Q68" si="13">PI()*(N5^2/4)*O5*P5*$K$1</f>
        <v>148.78375507718036</v>
      </c>
      <c r="R5" s="67">
        <f t="shared" ref="R5:R7" si="14">Q5*0.00576</f>
        <v>0.85699442924455893</v>
      </c>
      <c r="S5" s="67">
        <f t="shared" si="4"/>
        <v>595.57752210109948</v>
      </c>
      <c r="T5" s="67">
        <f t="shared" si="5"/>
        <v>186.11797565659359</v>
      </c>
      <c r="U5" s="37">
        <v>161.91999999999999</v>
      </c>
      <c r="V5" s="67">
        <f t="shared" si="6"/>
        <v>0.93265920000000002</v>
      </c>
      <c r="W5" s="67">
        <f t="shared" si="7"/>
        <v>601.08000000000004</v>
      </c>
      <c r="X5" s="67">
        <f t="shared" ref="X5" si="15">W5/(160/50)</f>
        <v>187.83750000000001</v>
      </c>
    </row>
    <row r="6" spans="1:24" ht="19">
      <c r="A6" s="1">
        <v>27</v>
      </c>
      <c r="B6" s="2">
        <v>11.09</v>
      </c>
      <c r="C6" s="67">
        <f t="shared" si="0"/>
        <v>3.5300566377782387</v>
      </c>
      <c r="D6" s="18">
        <f t="shared" si="9"/>
        <v>0.41532258064516131</v>
      </c>
      <c r="E6" s="2">
        <v>155</v>
      </c>
      <c r="F6" s="290">
        <v>0</v>
      </c>
      <c r="G6" s="67">
        <f t="shared" si="10"/>
        <v>724.54991640315484</v>
      </c>
      <c r="H6" s="67">
        <f t="shared" si="1"/>
        <v>4.173407518482172</v>
      </c>
      <c r="I6" s="37">
        <v>742.92</v>
      </c>
      <c r="J6" s="67">
        <f t="shared" si="11"/>
        <v>4.2792192</v>
      </c>
      <c r="K6" s="2">
        <v>7.0000000000000007E-2</v>
      </c>
      <c r="L6" s="2">
        <v>0.7</v>
      </c>
      <c r="M6" s="67">
        <f t="shared" si="2"/>
        <v>7.0582894278930981</v>
      </c>
      <c r="N6" s="67">
        <f t="shared" si="3"/>
        <v>2.2467233044449051</v>
      </c>
      <c r="O6" s="67">
        <f t="shared" si="12"/>
        <v>78</v>
      </c>
      <c r="P6" s="2">
        <v>0.4</v>
      </c>
      <c r="Q6" s="67">
        <f t="shared" si="13"/>
        <v>142.24646942406574</v>
      </c>
      <c r="R6" s="67">
        <f t="shared" si="14"/>
        <v>0.8193396638826187</v>
      </c>
      <c r="S6" s="67">
        <f t="shared" si="4"/>
        <v>582.30344697908913</v>
      </c>
      <c r="T6" s="67">
        <f t="shared" si="5"/>
        <v>181.96982718096535</v>
      </c>
      <c r="U6" s="37">
        <v>155.6</v>
      </c>
      <c r="V6" s="67">
        <f t="shared" si="6"/>
        <v>0.89625600000000005</v>
      </c>
      <c r="W6" s="67">
        <f t="shared" si="7"/>
        <v>587.31999999999994</v>
      </c>
      <c r="X6" s="67">
        <f t="shared" ref="X6" si="16">W6/(160/50)</f>
        <v>183.53749999999997</v>
      </c>
    </row>
    <row r="7" spans="1:24" ht="19">
      <c r="A7" s="1">
        <v>52</v>
      </c>
      <c r="B7" s="2">
        <v>9.875328399999999</v>
      </c>
      <c r="C7" s="67">
        <f t="shared" si="0"/>
        <v>3.1434146590315555</v>
      </c>
      <c r="D7" s="18">
        <f t="shared" si="9"/>
        <v>0.41612426035502958</v>
      </c>
      <c r="E7" s="2">
        <v>169</v>
      </c>
      <c r="F7" s="290">
        <v>0</v>
      </c>
      <c r="G7" s="67">
        <f t="shared" si="10"/>
        <v>627.62583303954455</v>
      </c>
      <c r="H7" s="67">
        <f t="shared" si="1"/>
        <v>3.615124798307777</v>
      </c>
      <c r="I7" s="37">
        <v>639.87</v>
      </c>
      <c r="J7" s="67">
        <f t="shared" si="11"/>
        <v>3.6856512000000001</v>
      </c>
      <c r="K7" s="2">
        <v>7.0000000000000007E-2</v>
      </c>
      <c r="L7" s="2">
        <v>0.7</v>
      </c>
      <c r="M7" s="67">
        <f t="shared" si="2"/>
        <v>5.8436178278930972</v>
      </c>
      <c r="N7" s="67">
        <f t="shared" si="3"/>
        <v>1.860081325698222</v>
      </c>
      <c r="O7" s="67">
        <f t="shared" si="12"/>
        <v>92</v>
      </c>
      <c r="P7" s="2">
        <v>0.4</v>
      </c>
      <c r="Q7" s="67">
        <f t="shared" si="13"/>
        <v>115.00041451159665</v>
      </c>
      <c r="R7" s="67">
        <f t="shared" si="14"/>
        <v>0.6624023875867967</v>
      </c>
      <c r="S7" s="67">
        <f t="shared" si="4"/>
        <v>512.62541852794789</v>
      </c>
      <c r="T7" s="67">
        <f t="shared" si="5"/>
        <v>160.1954432899837</v>
      </c>
      <c r="U7" s="37">
        <v>124.76</v>
      </c>
      <c r="V7" s="67">
        <f t="shared" si="6"/>
        <v>0.71861760000000008</v>
      </c>
      <c r="W7" s="67">
        <f t="shared" si="7"/>
        <v>515.11</v>
      </c>
      <c r="X7" s="67">
        <f t="shared" ref="X7:X15" si="17">W7/(160/50)</f>
        <v>160.97187499999998</v>
      </c>
    </row>
    <row r="8" spans="1:24" ht="19">
      <c r="A8" s="1">
        <v>26</v>
      </c>
      <c r="B8" s="2">
        <v>9.8000000000000007</v>
      </c>
      <c r="C8" s="67">
        <f t="shared" si="0"/>
        <v>3.1194368846011491</v>
      </c>
      <c r="D8" s="18">
        <f t="shared" si="9"/>
        <v>0.41562500000000002</v>
      </c>
      <c r="E8" s="2">
        <v>160</v>
      </c>
      <c r="F8" s="290">
        <v>0</v>
      </c>
      <c r="G8" s="67">
        <f t="shared" si="10"/>
        <v>584.46939258718851</v>
      </c>
      <c r="H8" s="67">
        <f t="shared" si="1"/>
        <v>3.3665437013022061</v>
      </c>
      <c r="I8" s="37">
        <v>598.82000000000005</v>
      </c>
      <c r="J8" s="67">
        <f t="shared" si="11"/>
        <v>3.4492032000000004</v>
      </c>
      <c r="K8" s="2">
        <v>7.0000000000000007E-2</v>
      </c>
      <c r="L8" s="2">
        <v>0.7</v>
      </c>
      <c r="M8" s="67">
        <f t="shared" si="2"/>
        <v>5.7682894278930998</v>
      </c>
      <c r="N8" s="67">
        <f t="shared" si="3"/>
        <v>1.8361035512678157</v>
      </c>
      <c r="O8" s="67">
        <f t="shared" si="12"/>
        <v>83</v>
      </c>
      <c r="P8" s="2">
        <v>0.4</v>
      </c>
      <c r="Q8" s="67">
        <f t="shared" si="13"/>
        <v>101.0927816329519</v>
      </c>
      <c r="R8" s="67">
        <f t="shared" ref="R8:R52" si="18">Q8*$N$1*$P$1/2000</f>
        <v>0.58229442220580296</v>
      </c>
      <c r="S8" s="67">
        <f t="shared" si="4"/>
        <v>483.37661095423664</v>
      </c>
      <c r="T8" s="67">
        <f t="shared" si="5"/>
        <v>151.05519092319895</v>
      </c>
      <c r="U8" s="37">
        <v>110.61</v>
      </c>
      <c r="V8" s="67">
        <f t="shared" si="6"/>
        <v>0.63711360000000006</v>
      </c>
      <c r="W8" s="67">
        <f t="shared" si="7"/>
        <v>488.21000000000004</v>
      </c>
      <c r="X8" s="67">
        <f t="shared" si="17"/>
        <v>152.56562500000001</v>
      </c>
    </row>
    <row r="9" spans="1:24" ht="19">
      <c r="A9" s="1">
        <v>105</v>
      </c>
      <c r="B9" s="2">
        <f>3.08*3.28084</f>
        <v>10.1049872</v>
      </c>
      <c r="C9" s="67">
        <f t="shared" si="0"/>
        <v>3.2165173255206616</v>
      </c>
      <c r="D9" s="18">
        <f t="shared" si="9"/>
        <v>0.41479591836734697</v>
      </c>
      <c r="E9" s="8">
        <v>147</v>
      </c>
      <c r="F9" s="290">
        <v>0</v>
      </c>
      <c r="G9" s="67">
        <f t="shared" si="10"/>
        <v>569.78540518971897</v>
      </c>
      <c r="H9" s="67">
        <f t="shared" si="1"/>
        <v>3.2819639338927815</v>
      </c>
      <c r="I9" s="37">
        <v>587.11</v>
      </c>
      <c r="J9" s="67">
        <f t="shared" si="11"/>
        <v>3.3817536000000001</v>
      </c>
      <c r="K9" s="2">
        <v>7.0000000000000007E-2</v>
      </c>
      <c r="L9" s="2">
        <v>0.7</v>
      </c>
      <c r="M9" s="67">
        <f t="shared" si="2"/>
        <v>6.0732766278930983</v>
      </c>
      <c r="N9" s="67">
        <f t="shared" si="3"/>
        <v>1.9331839921873282</v>
      </c>
      <c r="O9" s="67">
        <f t="shared" si="12"/>
        <v>70</v>
      </c>
      <c r="P9" s="2">
        <v>0.4</v>
      </c>
      <c r="Q9" s="67">
        <f t="shared" si="13"/>
        <v>94.513127315205409</v>
      </c>
      <c r="R9" s="67">
        <f t="shared" si="18"/>
        <v>0.54439561333558317</v>
      </c>
      <c r="S9" s="67">
        <f t="shared" si="4"/>
        <v>475.27227787451358</v>
      </c>
      <c r="T9" s="67">
        <f t="shared" si="5"/>
        <v>148.52258683578549</v>
      </c>
      <c r="U9" s="37">
        <v>103.39</v>
      </c>
      <c r="V9" s="67">
        <f t="shared" si="6"/>
        <v>0.59552640000000001</v>
      </c>
      <c r="W9" s="67">
        <f t="shared" si="7"/>
        <v>483.72</v>
      </c>
      <c r="X9" s="67">
        <f t="shared" si="17"/>
        <v>151.16249999999999</v>
      </c>
    </row>
    <row r="10" spans="1:24" ht="19">
      <c r="A10" s="1">
        <v>104</v>
      </c>
      <c r="B10" s="2">
        <f>3.07*3.28084</f>
        <v>10.0721788</v>
      </c>
      <c r="C10" s="67">
        <f t="shared" si="0"/>
        <v>3.2060740874507894</v>
      </c>
      <c r="D10" s="18">
        <f t="shared" si="9"/>
        <v>0.41479591836734697</v>
      </c>
      <c r="E10" s="8">
        <v>147</v>
      </c>
      <c r="F10" s="290">
        <v>0</v>
      </c>
      <c r="G10" s="67">
        <f t="shared" si="10"/>
        <v>566.09150630087106</v>
      </c>
      <c r="H10" s="67">
        <f t="shared" si="1"/>
        <v>3.2606870762930176</v>
      </c>
      <c r="I10" s="37">
        <v>583.47</v>
      </c>
      <c r="J10" s="67">
        <f t="shared" si="11"/>
        <v>3.3607872000000003</v>
      </c>
      <c r="K10" s="2">
        <v>7.0000000000000007E-2</v>
      </c>
      <c r="L10" s="2">
        <v>0.7</v>
      </c>
      <c r="M10" s="67">
        <f t="shared" si="2"/>
        <v>6.0404682278930979</v>
      </c>
      <c r="N10" s="67">
        <f t="shared" si="3"/>
        <v>1.9227407541174559</v>
      </c>
      <c r="O10" s="67">
        <f t="shared" si="12"/>
        <v>70</v>
      </c>
      <c r="P10" s="2">
        <v>0.4</v>
      </c>
      <c r="Q10" s="67">
        <f t="shared" si="13"/>
        <v>93.494748207559752</v>
      </c>
      <c r="R10" s="67">
        <f t="shared" si="18"/>
        <v>0.53852974967554412</v>
      </c>
      <c r="S10" s="67">
        <f t="shared" si="4"/>
        <v>472.59675809331134</v>
      </c>
      <c r="T10" s="67">
        <f t="shared" si="5"/>
        <v>147.68648690415978</v>
      </c>
      <c r="U10" s="37">
        <v>97.38</v>
      </c>
      <c r="V10" s="67">
        <f t="shared" si="6"/>
        <v>0.56090879999999999</v>
      </c>
      <c r="W10" s="67">
        <f t="shared" si="7"/>
        <v>486.09000000000003</v>
      </c>
      <c r="X10" s="67">
        <f t="shared" si="17"/>
        <v>151.90312499999999</v>
      </c>
    </row>
    <row r="11" spans="1:24" ht="19">
      <c r="A11" s="1">
        <v>38</v>
      </c>
      <c r="B11" s="2">
        <v>9.6783600000000014</v>
      </c>
      <c r="C11" s="67">
        <f t="shared" si="0"/>
        <v>3.080717670045753</v>
      </c>
      <c r="D11" s="18">
        <f t="shared" si="9"/>
        <v>0.41548223350253805</v>
      </c>
      <c r="E11" s="2">
        <v>157.6</v>
      </c>
      <c r="F11" s="290">
        <v>0</v>
      </c>
      <c r="G11" s="67">
        <f t="shared" si="10"/>
        <v>561.3066552924646</v>
      </c>
      <c r="H11" s="67">
        <f t="shared" si="1"/>
        <v>3.2331263344845964</v>
      </c>
      <c r="I11" s="37">
        <v>575.03</v>
      </c>
      <c r="J11" s="67">
        <f t="shared" si="11"/>
        <v>3.3121727999999999</v>
      </c>
      <c r="K11" s="2">
        <v>7.0000000000000007E-2</v>
      </c>
      <c r="L11" s="2">
        <v>0.7</v>
      </c>
      <c r="M11" s="67">
        <f t="shared" si="2"/>
        <v>5.6466494278931005</v>
      </c>
      <c r="N11" s="67">
        <f t="shared" si="3"/>
        <v>1.7973843367124196</v>
      </c>
      <c r="O11" s="67">
        <f t="shared" si="12"/>
        <v>80.599999999999994</v>
      </c>
      <c r="P11" s="2">
        <v>0.4</v>
      </c>
      <c r="Q11" s="67">
        <f t="shared" si="13"/>
        <v>94.072927724056555</v>
      </c>
      <c r="R11" s="67">
        <f t="shared" si="18"/>
        <v>0.54186006369056572</v>
      </c>
      <c r="S11" s="67">
        <f t="shared" si="4"/>
        <v>467.23372756840803</v>
      </c>
      <c r="T11" s="67">
        <f t="shared" si="5"/>
        <v>146.0105398651275</v>
      </c>
      <c r="U11" s="37">
        <v>102.94</v>
      </c>
      <c r="V11" s="67">
        <f t="shared" si="6"/>
        <v>0.59293439999999997</v>
      </c>
      <c r="W11" s="67">
        <f t="shared" si="7"/>
        <v>472.09</v>
      </c>
      <c r="X11" s="67">
        <f t="shared" si="17"/>
        <v>147.52812499999999</v>
      </c>
    </row>
    <row r="12" spans="1:24" ht="19">
      <c r="A12" s="1">
        <v>5</v>
      </c>
      <c r="B12" s="2">
        <v>9.8425200000000004</v>
      </c>
      <c r="C12" s="67">
        <f t="shared" si="0"/>
        <v>3.1329714209616837</v>
      </c>
      <c r="D12" s="18">
        <f t="shared" si="9"/>
        <v>0.41501331557922772</v>
      </c>
      <c r="E12" s="2">
        <v>150.19999999999999</v>
      </c>
      <c r="F12" s="290">
        <v>0</v>
      </c>
      <c r="G12" s="67">
        <f t="shared" si="10"/>
        <v>552.6275756429734</v>
      </c>
      <c r="H12" s="67">
        <f t="shared" si="1"/>
        <v>3.1831348357035272</v>
      </c>
      <c r="I12" s="37">
        <v>566.57000000000005</v>
      </c>
      <c r="J12" s="67">
        <f t="shared" si="11"/>
        <v>3.2634432000000007</v>
      </c>
      <c r="K12" s="2">
        <v>7.0000000000000007E-2</v>
      </c>
      <c r="L12" s="2">
        <v>0.7</v>
      </c>
      <c r="M12" s="67">
        <f t="shared" si="2"/>
        <v>5.8108094278930995</v>
      </c>
      <c r="N12" s="67">
        <f t="shared" si="3"/>
        <v>1.8496380876283502</v>
      </c>
      <c r="O12" s="67">
        <f t="shared" si="12"/>
        <v>73.199999999999989</v>
      </c>
      <c r="P12" s="2">
        <v>0.4</v>
      </c>
      <c r="Q12" s="67">
        <f t="shared" si="13"/>
        <v>90.475775377240268</v>
      </c>
      <c r="R12" s="67">
        <f t="shared" si="18"/>
        <v>0.52114046617290388</v>
      </c>
      <c r="S12" s="67">
        <f t="shared" si="4"/>
        <v>462.15180026573313</v>
      </c>
      <c r="T12" s="67">
        <f t="shared" si="5"/>
        <v>144.42243758304159</v>
      </c>
      <c r="U12" s="37">
        <v>99.16</v>
      </c>
      <c r="V12" s="67">
        <f t="shared" si="6"/>
        <v>0.57116160000000005</v>
      </c>
      <c r="W12" s="67">
        <f t="shared" si="7"/>
        <v>467.41000000000008</v>
      </c>
      <c r="X12" s="67">
        <f t="shared" si="17"/>
        <v>146.06562500000001</v>
      </c>
    </row>
    <row r="13" spans="1:24" ht="19">
      <c r="A13" s="1">
        <v>65</v>
      </c>
      <c r="B13" s="2">
        <v>10.170604000000001</v>
      </c>
      <c r="C13" s="67">
        <f t="shared" si="0"/>
        <v>3.2374038016604065</v>
      </c>
      <c r="D13" s="18">
        <f t="shared" si="9"/>
        <v>0.41384758364312269</v>
      </c>
      <c r="E13" s="2">
        <v>134.5</v>
      </c>
      <c r="F13" s="290">
        <v>0</v>
      </c>
      <c r="G13" s="67">
        <f t="shared" si="10"/>
        <v>526.91938298418324</v>
      </c>
      <c r="H13" s="67">
        <f t="shared" si="1"/>
        <v>3.0350556459888955</v>
      </c>
      <c r="I13" s="37">
        <v>545.09</v>
      </c>
      <c r="J13" s="67">
        <f t="shared" si="11"/>
        <v>3.1397184000000005</v>
      </c>
      <c r="K13" s="2">
        <v>7.0000000000000007E-2</v>
      </c>
      <c r="L13" s="2">
        <v>0.7</v>
      </c>
      <c r="M13" s="67">
        <f t="shared" si="2"/>
        <v>6.1388934278930991</v>
      </c>
      <c r="N13" s="67">
        <f t="shared" si="3"/>
        <v>1.9540704683270731</v>
      </c>
      <c r="O13" s="67">
        <f t="shared" si="12"/>
        <v>57.5</v>
      </c>
      <c r="P13" s="2">
        <v>0.4</v>
      </c>
      <c r="Q13" s="67">
        <f t="shared" si="13"/>
        <v>79.322428226755861</v>
      </c>
      <c r="R13" s="67">
        <f t="shared" si="18"/>
        <v>0.45689718658611378</v>
      </c>
      <c r="S13" s="67">
        <f t="shared" si="4"/>
        <v>447.5969547574274</v>
      </c>
      <c r="T13" s="67">
        <f t="shared" si="5"/>
        <v>139.87404836169605</v>
      </c>
      <c r="U13" s="37">
        <v>87.62</v>
      </c>
      <c r="V13" s="67">
        <f t="shared" si="6"/>
        <v>0.50469120000000001</v>
      </c>
      <c r="W13" s="67">
        <f t="shared" si="7"/>
        <v>457.47</v>
      </c>
      <c r="X13" s="67">
        <f t="shared" si="17"/>
        <v>142.95937499999999</v>
      </c>
    </row>
    <row r="14" spans="1:24" ht="19">
      <c r="A14" s="1">
        <v>63</v>
      </c>
      <c r="B14" s="2">
        <v>9.4700000000000006</v>
      </c>
      <c r="C14" s="67">
        <f t="shared" si="0"/>
        <v>3.014394622160498</v>
      </c>
      <c r="D14" s="18">
        <f t="shared" si="9"/>
        <v>0.41519607843137257</v>
      </c>
      <c r="E14" s="2">
        <v>153</v>
      </c>
      <c r="F14" s="290">
        <v>0</v>
      </c>
      <c r="G14" s="67">
        <f t="shared" si="10"/>
        <v>521.35387769709666</v>
      </c>
      <c r="H14" s="67">
        <f t="shared" si="1"/>
        <v>3.0029983355352772</v>
      </c>
      <c r="I14" s="37">
        <v>533.55999999999995</v>
      </c>
      <c r="J14" s="67">
        <f t="shared" ref="J14:J52" si="19">I14*$N$1*$P$1/2000</f>
        <v>3.0733055999999999</v>
      </c>
      <c r="K14" s="2">
        <v>7.0000000000000007E-2</v>
      </c>
      <c r="L14" s="2">
        <v>0.7</v>
      </c>
      <c r="M14" s="67">
        <f t="shared" si="2"/>
        <v>5.4382894278930989</v>
      </c>
      <c r="N14" s="67">
        <f t="shared" si="3"/>
        <v>1.7310612888271646</v>
      </c>
      <c r="O14" s="67">
        <f t="shared" si="12"/>
        <v>76</v>
      </c>
      <c r="P14" s="2">
        <v>0.4</v>
      </c>
      <c r="Q14" s="67">
        <f t="shared" si="13"/>
        <v>82.278467554997349</v>
      </c>
      <c r="R14" s="67">
        <f t="shared" si="18"/>
        <v>0.47392397311678475</v>
      </c>
      <c r="S14" s="67">
        <f t="shared" si="4"/>
        <v>439.07541014209932</v>
      </c>
      <c r="T14" s="67">
        <f t="shared" si="5"/>
        <v>137.21106566940603</v>
      </c>
      <c r="U14" s="37">
        <v>89.94</v>
      </c>
      <c r="V14" s="67">
        <f>U14*$N$1*$P$1/2000</f>
        <v>0.51805440000000003</v>
      </c>
      <c r="W14" s="67">
        <f t="shared" si="7"/>
        <v>443.61999999999995</v>
      </c>
      <c r="X14" s="67">
        <f t="shared" si="17"/>
        <v>138.63124999999997</v>
      </c>
    </row>
    <row r="15" spans="1:24" ht="19">
      <c r="A15" s="3" t="s">
        <v>8</v>
      </c>
      <c r="B15" s="2">
        <f>2.86*3.28084</f>
        <v>9.3832024000000001</v>
      </c>
      <c r="C15" s="67">
        <f t="shared" si="0"/>
        <v>2.9867660879834714</v>
      </c>
      <c r="D15" s="18">
        <f t="shared" si="9"/>
        <v>0.41479591836734697</v>
      </c>
      <c r="E15" s="8">
        <v>147</v>
      </c>
      <c r="F15" s="290">
        <v>0</v>
      </c>
      <c r="G15" s="67">
        <f t="shared" si="10"/>
        <v>491.29455855644136</v>
      </c>
      <c r="H15" s="67">
        <f t="shared" si="1"/>
        <v>2.8298566572851023</v>
      </c>
      <c r="I15" s="37">
        <v>494.66</v>
      </c>
      <c r="J15" s="67">
        <f t="shared" si="19"/>
        <v>2.8492416</v>
      </c>
      <c r="K15" s="2">
        <v>7.0000000000000007E-2</v>
      </c>
      <c r="L15" s="2">
        <v>0.7</v>
      </c>
      <c r="M15" s="67">
        <f t="shared" si="2"/>
        <v>5.3514918278930983</v>
      </c>
      <c r="N15" s="67">
        <f t="shared" si="3"/>
        <v>1.703432754650138</v>
      </c>
      <c r="O15" s="67">
        <f t="shared" si="12"/>
        <v>70</v>
      </c>
      <c r="P15" s="2">
        <v>0.4</v>
      </c>
      <c r="Q15" s="67">
        <f t="shared" si="13"/>
        <v>73.383047050298913</v>
      </c>
      <c r="R15" s="67">
        <f t="shared" si="18"/>
        <v>0.42268635100972174</v>
      </c>
      <c r="S15" s="67">
        <f t="shared" si="4"/>
        <v>417.91151150614246</v>
      </c>
      <c r="T15" s="67">
        <f t="shared" si="5"/>
        <v>130.5973473456695</v>
      </c>
      <c r="U15" s="37">
        <v>80.319999999999993</v>
      </c>
      <c r="V15" s="67">
        <f t="shared" ref="V15:V78" si="20">U15*$N$1*$P$1/2000</f>
        <v>0.46264319999999992</v>
      </c>
      <c r="W15" s="67">
        <f t="shared" si="7"/>
        <v>414.34000000000003</v>
      </c>
      <c r="X15" s="67">
        <f t="shared" si="17"/>
        <v>129.48124999999999</v>
      </c>
    </row>
    <row r="16" spans="1:24" ht="19">
      <c r="A16" s="1">
        <v>111</v>
      </c>
      <c r="B16" s="2">
        <f>2.86*3.28084</f>
        <v>9.3832024000000001</v>
      </c>
      <c r="C16" s="67">
        <f t="shared" si="0"/>
        <v>2.9867660879834714</v>
      </c>
      <c r="D16" s="18">
        <f t="shared" si="9"/>
        <v>0.41479591836734697</v>
      </c>
      <c r="E16" s="8">
        <v>147</v>
      </c>
      <c r="F16" s="290">
        <v>0</v>
      </c>
      <c r="G16" s="67">
        <f t="shared" si="10"/>
        <v>491.29455855644136</v>
      </c>
      <c r="H16" s="67">
        <f t="shared" si="1"/>
        <v>2.8298566572851023</v>
      </c>
      <c r="I16" s="37">
        <v>494.66</v>
      </c>
      <c r="J16" s="67">
        <f t="shared" si="19"/>
        <v>2.8492416</v>
      </c>
      <c r="K16" s="2">
        <v>7.0000000000000007E-2</v>
      </c>
      <c r="L16" s="2">
        <v>0.7</v>
      </c>
      <c r="M16" s="67">
        <f t="shared" si="2"/>
        <v>5.3514918278930983</v>
      </c>
      <c r="N16" s="67">
        <f t="shared" si="3"/>
        <v>1.703432754650138</v>
      </c>
      <c r="O16" s="67">
        <f t="shared" si="12"/>
        <v>70</v>
      </c>
      <c r="P16" s="2">
        <v>0.4</v>
      </c>
      <c r="Q16" s="67">
        <f t="shared" si="13"/>
        <v>73.383047050298913</v>
      </c>
      <c r="R16" s="67">
        <f t="shared" si="18"/>
        <v>0.42268635100972174</v>
      </c>
      <c r="S16" s="67">
        <f t="shared" si="4"/>
        <v>417.91151150614246</v>
      </c>
      <c r="T16" s="67">
        <f t="shared" si="5"/>
        <v>130.5973473456695</v>
      </c>
      <c r="U16" s="37">
        <v>80.319999999999993</v>
      </c>
      <c r="V16" s="67">
        <f t="shared" si="20"/>
        <v>0.46264319999999992</v>
      </c>
      <c r="W16" s="67">
        <f t="shared" si="7"/>
        <v>414.34000000000003</v>
      </c>
      <c r="X16" s="67">
        <f t="shared" ref="X16:X79" si="21">W16/(160/50)</f>
        <v>129.48124999999999</v>
      </c>
    </row>
    <row r="17" spans="1:24" ht="19">
      <c r="A17" s="1">
        <v>41</v>
      </c>
      <c r="B17" s="2">
        <v>9.0223099999999992</v>
      </c>
      <c r="C17" s="67">
        <f t="shared" si="0"/>
        <v>2.8718904692148763</v>
      </c>
      <c r="D17" s="18">
        <f t="shared" si="9"/>
        <v>0.415228013029316</v>
      </c>
      <c r="E17" s="2">
        <v>153.5</v>
      </c>
      <c r="F17" s="290">
        <v>0</v>
      </c>
      <c r="G17" s="67">
        <f t="shared" si="10"/>
        <v>474.80850694810141</v>
      </c>
      <c r="H17" s="67">
        <f t="shared" si="1"/>
        <v>2.7348970000210642</v>
      </c>
      <c r="I17" s="37">
        <v>486.71</v>
      </c>
      <c r="J17" s="67">
        <f t="shared" si="19"/>
        <v>2.8034495999999995</v>
      </c>
      <c r="K17" s="2">
        <v>7.0000000000000007E-2</v>
      </c>
      <c r="L17" s="2">
        <v>0.7</v>
      </c>
      <c r="M17" s="67">
        <f t="shared" si="2"/>
        <v>4.9905994278930983</v>
      </c>
      <c r="N17" s="67">
        <f t="shared" si="3"/>
        <v>1.5885571358815429</v>
      </c>
      <c r="O17" s="67">
        <f t="shared" si="12"/>
        <v>76.5</v>
      </c>
      <c r="P17" s="2">
        <v>0.4</v>
      </c>
      <c r="Q17" s="67">
        <f t="shared" si="13"/>
        <v>69.745280904018387</v>
      </c>
      <c r="R17" s="67">
        <f t="shared" si="18"/>
        <v>0.40173281800714589</v>
      </c>
      <c r="S17" s="67">
        <f t="shared" si="4"/>
        <v>405.06322604408302</v>
      </c>
      <c r="T17" s="67">
        <f t="shared" si="5"/>
        <v>126.58225813877594</v>
      </c>
      <c r="U17" s="37">
        <v>76.52</v>
      </c>
      <c r="V17" s="67">
        <f t="shared" si="20"/>
        <v>0.44075520000000001</v>
      </c>
      <c r="W17" s="67">
        <f t="shared" si="7"/>
        <v>410.19</v>
      </c>
      <c r="X17" s="67">
        <f t="shared" si="21"/>
        <v>128.18437499999999</v>
      </c>
    </row>
    <row r="18" spans="1:24" ht="19">
      <c r="A18" s="1">
        <v>55</v>
      </c>
      <c r="B18" s="2">
        <f>2.8*3.28084</f>
        <v>9.1863519999999994</v>
      </c>
      <c r="C18" s="67">
        <f t="shared" si="0"/>
        <v>2.9241066595642375</v>
      </c>
      <c r="D18" s="18">
        <f t="shared" si="9"/>
        <v>0.41479591836734697</v>
      </c>
      <c r="E18" s="8">
        <v>147</v>
      </c>
      <c r="F18" s="290">
        <v>0</v>
      </c>
      <c r="G18" s="67">
        <f t="shared" si="10"/>
        <v>470.8970290824123</v>
      </c>
      <c r="H18" s="67">
        <f t="shared" si="1"/>
        <v>2.7123668875146949</v>
      </c>
      <c r="I18" s="37">
        <v>482.94</v>
      </c>
      <c r="J18" s="67">
        <f t="shared" si="19"/>
        <v>2.7817343999999999</v>
      </c>
      <c r="K18" s="2">
        <v>7.0000000000000007E-2</v>
      </c>
      <c r="L18" s="2">
        <v>0.7</v>
      </c>
      <c r="M18" s="67">
        <f t="shared" si="2"/>
        <v>5.1546414278930976</v>
      </c>
      <c r="N18" s="67">
        <f t="shared" si="3"/>
        <v>1.6407733262309041</v>
      </c>
      <c r="O18" s="67">
        <f t="shared" si="12"/>
        <v>70</v>
      </c>
      <c r="P18" s="2">
        <v>0.4</v>
      </c>
      <c r="Q18" s="67">
        <f t="shared" si="13"/>
        <v>68.083665197432794</v>
      </c>
      <c r="R18" s="67">
        <f t="shared" si="18"/>
        <v>0.39216191153721286</v>
      </c>
      <c r="S18" s="67">
        <f t="shared" si="4"/>
        <v>402.81336388497948</v>
      </c>
      <c r="T18" s="67">
        <f t="shared" si="5"/>
        <v>125.87917621405609</v>
      </c>
      <c r="U18" s="37">
        <v>74.78</v>
      </c>
      <c r="V18" s="67">
        <f t="shared" si="20"/>
        <v>0.43073279999999997</v>
      </c>
      <c r="W18" s="67">
        <f t="shared" si="7"/>
        <v>408.15999999999997</v>
      </c>
      <c r="X18" s="67">
        <f t="shared" si="21"/>
        <v>127.54999999999998</v>
      </c>
    </row>
    <row r="19" spans="1:24" ht="19">
      <c r="A19" s="1">
        <v>73</v>
      </c>
      <c r="B19" s="2">
        <v>9.4160108000000005</v>
      </c>
      <c r="C19" s="67">
        <f t="shared" si="0"/>
        <v>2.9972093260533441</v>
      </c>
      <c r="D19" s="18">
        <f t="shared" si="9"/>
        <v>0.41427805575411009</v>
      </c>
      <c r="E19" s="2">
        <v>139.9</v>
      </c>
      <c r="F19" s="290">
        <v>0</v>
      </c>
      <c r="G19" s="67">
        <f t="shared" si="10"/>
        <v>470.25293645425194</v>
      </c>
      <c r="H19" s="67">
        <f t="shared" si="1"/>
        <v>2.7086569139764913</v>
      </c>
      <c r="I19" s="37">
        <v>485.7</v>
      </c>
      <c r="J19" s="67">
        <f t="shared" si="19"/>
        <v>2.7976319999999997</v>
      </c>
      <c r="K19" s="2">
        <v>7.0000000000000007E-2</v>
      </c>
      <c r="L19" s="2">
        <v>0.7</v>
      </c>
      <c r="M19" s="67">
        <f t="shared" si="2"/>
        <v>5.3843002278930996</v>
      </c>
      <c r="N19" s="67">
        <f t="shared" si="3"/>
        <v>1.7138759927200107</v>
      </c>
      <c r="O19" s="67">
        <f t="shared" si="12"/>
        <v>62.900000000000006</v>
      </c>
      <c r="P19" s="2">
        <v>0.4</v>
      </c>
      <c r="Q19" s="67">
        <f t="shared" si="13"/>
        <v>66.750903634005752</v>
      </c>
      <c r="R19" s="67">
        <f t="shared" si="18"/>
        <v>0.38448520493187316</v>
      </c>
      <c r="S19" s="67">
        <f t="shared" si="4"/>
        <v>403.5020328202462</v>
      </c>
      <c r="T19" s="67">
        <f t="shared" si="5"/>
        <v>126.09438525632693</v>
      </c>
      <c r="U19" s="37">
        <v>73.430000000000007</v>
      </c>
      <c r="V19" s="67">
        <f t="shared" si="20"/>
        <v>0.42295680000000002</v>
      </c>
      <c r="W19" s="67">
        <f t="shared" si="7"/>
        <v>412.27</v>
      </c>
      <c r="X19" s="67">
        <f t="shared" si="21"/>
        <v>128.83437499999999</v>
      </c>
    </row>
    <row r="20" spans="1:24" ht="19">
      <c r="A20" s="1">
        <v>25</v>
      </c>
      <c r="B20" s="2">
        <v>9.18</v>
      </c>
      <c r="C20" s="67">
        <f t="shared" si="0"/>
        <v>2.9220847551671985</v>
      </c>
      <c r="D20" s="18">
        <f t="shared" si="9"/>
        <v>0.41479591836734697</v>
      </c>
      <c r="E20" s="8">
        <v>147</v>
      </c>
      <c r="F20" s="290">
        <v>0</v>
      </c>
      <c r="G20" s="67">
        <f t="shared" si="10"/>
        <v>470.2460407898248</v>
      </c>
      <c r="H20" s="67">
        <f t="shared" si="1"/>
        <v>2.7086171949493911</v>
      </c>
      <c r="I20" s="37">
        <v>482.94</v>
      </c>
      <c r="J20" s="67">
        <f t="shared" si="19"/>
        <v>2.7817343999999999</v>
      </c>
      <c r="K20" s="2">
        <v>7.0000000000000007E-2</v>
      </c>
      <c r="L20" s="2">
        <v>0.7</v>
      </c>
      <c r="M20" s="67">
        <f t="shared" si="2"/>
        <v>5.1482894278930988</v>
      </c>
      <c r="N20" s="67">
        <f t="shared" si="3"/>
        <v>1.638751421833865</v>
      </c>
      <c r="O20" s="67">
        <f t="shared" si="12"/>
        <v>70</v>
      </c>
      <c r="P20" s="2">
        <v>0.4</v>
      </c>
      <c r="Q20" s="67">
        <f t="shared" si="13"/>
        <v>67.915971290775161</v>
      </c>
      <c r="R20" s="67">
        <f t="shared" si="18"/>
        <v>0.39119599463486493</v>
      </c>
      <c r="S20" s="67">
        <f t="shared" si="4"/>
        <v>402.33006949904961</v>
      </c>
      <c r="T20" s="67">
        <f t="shared" si="5"/>
        <v>125.728146718453</v>
      </c>
      <c r="U20" s="37">
        <v>74.78</v>
      </c>
      <c r="V20" s="67">
        <f t="shared" si="20"/>
        <v>0.43073279999999997</v>
      </c>
      <c r="W20" s="67">
        <f t="shared" si="7"/>
        <v>408.15999999999997</v>
      </c>
      <c r="X20" s="67">
        <f t="shared" si="21"/>
        <v>127.54999999999998</v>
      </c>
    </row>
    <row r="21" spans="1:24" ht="19">
      <c r="A21" s="3" t="s">
        <v>2</v>
      </c>
      <c r="B21" s="2">
        <v>8.91</v>
      </c>
      <c r="C21" s="67">
        <f t="shared" si="0"/>
        <v>2.8361410858975749</v>
      </c>
      <c r="D21" s="18">
        <f t="shared" si="9"/>
        <v>0.41503322259136211</v>
      </c>
      <c r="E21" s="2">
        <v>150.5</v>
      </c>
      <c r="F21" s="290">
        <v>0</v>
      </c>
      <c r="G21" s="67">
        <f t="shared" si="10"/>
        <v>453.79817695105487</v>
      </c>
      <c r="H21" s="67">
        <f t="shared" si="1"/>
        <v>2.6138774992380762</v>
      </c>
      <c r="I21" s="37">
        <v>467.5</v>
      </c>
      <c r="J21" s="67">
        <f t="shared" si="19"/>
        <v>2.6927999999999996</v>
      </c>
      <c r="K21" s="2">
        <v>7.0000000000000007E-2</v>
      </c>
      <c r="L21" s="2">
        <v>0.7</v>
      </c>
      <c r="M21" s="67">
        <f t="shared" si="2"/>
        <v>4.8782894278930984</v>
      </c>
      <c r="N21" s="67">
        <f t="shared" si="3"/>
        <v>1.5528077525642414</v>
      </c>
      <c r="O21" s="67">
        <f t="shared" si="12"/>
        <v>73.5</v>
      </c>
      <c r="P21" s="2">
        <v>0.4</v>
      </c>
      <c r="Q21" s="67">
        <f t="shared" si="13"/>
        <v>64.028073296481921</v>
      </c>
      <c r="R21" s="67">
        <f t="shared" si="18"/>
        <v>0.36880170218773584</v>
      </c>
      <c r="S21" s="67">
        <f t="shared" si="4"/>
        <v>389.77010365457295</v>
      </c>
      <c r="T21" s="67">
        <f t="shared" si="5"/>
        <v>121.80315739205405</v>
      </c>
      <c r="U21" s="37">
        <v>70.02</v>
      </c>
      <c r="V21" s="67">
        <f t="shared" si="20"/>
        <v>0.40331519999999998</v>
      </c>
      <c r="W21" s="67">
        <f t="shared" si="7"/>
        <v>397.48</v>
      </c>
      <c r="X21" s="67">
        <f t="shared" si="21"/>
        <v>124.21250000000001</v>
      </c>
    </row>
    <row r="22" spans="1:24" ht="19">
      <c r="A22" s="3" t="s">
        <v>2</v>
      </c>
      <c r="B22" s="2">
        <v>8.7926511999999999</v>
      </c>
      <c r="C22" s="67">
        <f t="shared" si="0"/>
        <v>2.7987878027257707</v>
      </c>
      <c r="D22" s="18">
        <f t="shared" si="9"/>
        <v>0.41504644990046452</v>
      </c>
      <c r="E22" s="2">
        <v>150.69999999999999</v>
      </c>
      <c r="F22" s="290">
        <v>0</v>
      </c>
      <c r="G22" s="67">
        <f t="shared" si="10"/>
        <v>442.52480832125235</v>
      </c>
      <c r="H22" s="67">
        <f t="shared" si="1"/>
        <v>2.5489428959304137</v>
      </c>
      <c r="I22" s="37">
        <v>455.04</v>
      </c>
      <c r="J22" s="67">
        <f t="shared" si="19"/>
        <v>2.6210304</v>
      </c>
      <c r="K22" s="2">
        <v>7.0000000000000007E-2</v>
      </c>
      <c r="L22" s="2">
        <v>0.7</v>
      </c>
      <c r="M22" s="67">
        <f t="shared" si="2"/>
        <v>4.760940627893099</v>
      </c>
      <c r="N22" s="67">
        <f t="shared" si="3"/>
        <v>1.5154544693924372</v>
      </c>
      <c r="O22" s="67">
        <f t="shared" si="12"/>
        <v>73.699999999999989</v>
      </c>
      <c r="P22" s="2">
        <v>0.4</v>
      </c>
      <c r="Q22" s="67">
        <f t="shared" si="13"/>
        <v>61.150637176497575</v>
      </c>
      <c r="R22" s="67">
        <f t="shared" si="18"/>
        <v>0.35222767013662598</v>
      </c>
      <c r="S22" s="67">
        <f t="shared" si="4"/>
        <v>381.37417114475477</v>
      </c>
      <c r="T22" s="67">
        <f t="shared" si="5"/>
        <v>119.17942848273586</v>
      </c>
      <c r="U22" s="37">
        <v>67.53</v>
      </c>
      <c r="V22" s="67">
        <f t="shared" si="20"/>
        <v>0.38897280000000001</v>
      </c>
      <c r="W22" s="67">
        <f t="shared" si="7"/>
        <v>387.51</v>
      </c>
      <c r="X22" s="67">
        <f t="shared" si="21"/>
        <v>121.096875</v>
      </c>
    </row>
    <row r="23" spans="1:24" ht="19">
      <c r="A23" s="3">
        <v>31</v>
      </c>
      <c r="B23" s="2">
        <v>8.57</v>
      </c>
      <c r="C23" s="67">
        <f t="shared" si="0"/>
        <v>2.7279157245950865</v>
      </c>
      <c r="D23" s="18">
        <f t="shared" si="9"/>
        <v>0.41545194143857417</v>
      </c>
      <c r="E23" s="2">
        <v>157.1</v>
      </c>
      <c r="F23" s="290">
        <v>0</v>
      </c>
      <c r="G23" s="67">
        <f t="shared" si="10"/>
        <v>438.67875073359971</v>
      </c>
      <c r="H23" s="67">
        <f t="shared" si="1"/>
        <v>2.5267896042255344</v>
      </c>
      <c r="I23" s="37">
        <v>450.56</v>
      </c>
      <c r="J23" s="67">
        <f t="shared" si="19"/>
        <v>2.5952256</v>
      </c>
      <c r="K23" s="2">
        <v>7.0000000000000007E-2</v>
      </c>
      <c r="L23" s="2">
        <v>0.7</v>
      </c>
      <c r="M23" s="67">
        <f t="shared" si="2"/>
        <v>4.5382894278930994</v>
      </c>
      <c r="N23" s="67">
        <f t="shared" si="3"/>
        <v>1.444582391261753</v>
      </c>
      <c r="O23" s="67">
        <f t="shared" si="12"/>
        <v>80.099999999999994</v>
      </c>
      <c r="P23" s="2">
        <v>0.4</v>
      </c>
      <c r="Q23" s="67">
        <f t="shared" si="13"/>
        <v>60.389976774081276</v>
      </c>
      <c r="R23" s="67">
        <f t="shared" si="18"/>
        <v>0.34784626621870812</v>
      </c>
      <c r="S23" s="67">
        <f t="shared" si="4"/>
        <v>378.28877395951844</v>
      </c>
      <c r="T23" s="67">
        <f t="shared" si="5"/>
        <v>118.2152418623495</v>
      </c>
      <c r="U23" s="37">
        <v>65.67</v>
      </c>
      <c r="V23" s="67">
        <f t="shared" si="20"/>
        <v>0.37825919999999996</v>
      </c>
      <c r="W23" s="67">
        <f t="shared" si="7"/>
        <v>384.89</v>
      </c>
      <c r="X23" s="67">
        <f t="shared" si="21"/>
        <v>120.27812499999999</v>
      </c>
    </row>
    <row r="24" spans="1:24" ht="19">
      <c r="A24" s="3">
        <v>34</v>
      </c>
      <c r="B24" s="2">
        <v>8.6</v>
      </c>
      <c r="C24" s="67">
        <f t="shared" si="0"/>
        <v>2.7374650211805998</v>
      </c>
      <c r="D24" s="18">
        <f t="shared" si="9"/>
        <v>0.4152975420439845</v>
      </c>
      <c r="E24" s="2">
        <v>154.6</v>
      </c>
      <c r="F24" s="290">
        <v>0</v>
      </c>
      <c r="G24" s="67">
        <f t="shared" si="10"/>
        <v>434.56398331591623</v>
      </c>
      <c r="H24" s="67">
        <f t="shared" si="1"/>
        <v>2.5030885438996777</v>
      </c>
      <c r="I24" s="37">
        <v>446.8</v>
      </c>
      <c r="J24" s="67">
        <f t="shared" si="19"/>
        <v>2.5735680000000003</v>
      </c>
      <c r="K24" s="2">
        <v>7.0000000000000007E-2</v>
      </c>
      <c r="L24" s="2">
        <v>0.7</v>
      </c>
      <c r="M24" s="67">
        <f t="shared" si="2"/>
        <v>4.5682894278930979</v>
      </c>
      <c r="N24" s="67">
        <f t="shared" si="3"/>
        <v>1.4541316878472663</v>
      </c>
      <c r="O24" s="67">
        <f t="shared" si="12"/>
        <v>77.599999999999994</v>
      </c>
      <c r="P24" s="2">
        <v>0.4</v>
      </c>
      <c r="Q24" s="67">
        <f t="shared" si="13"/>
        <v>59.281189771569977</v>
      </c>
      <c r="R24" s="67">
        <f t="shared" si="18"/>
        <v>0.34145965308424303</v>
      </c>
      <c r="S24" s="67">
        <f t="shared" si="4"/>
        <v>375.28279354434625</v>
      </c>
      <c r="T24" s="67">
        <f t="shared" si="5"/>
        <v>117.27587298260819</v>
      </c>
      <c r="U24" s="37">
        <v>64.59</v>
      </c>
      <c r="V24" s="67">
        <f t="shared" si="20"/>
        <v>0.37203840000000005</v>
      </c>
      <c r="W24" s="67">
        <f t="shared" si="7"/>
        <v>382.21000000000004</v>
      </c>
      <c r="X24" s="67">
        <f t="shared" si="21"/>
        <v>119.44062500000001</v>
      </c>
    </row>
    <row r="25" spans="1:24" ht="19">
      <c r="A25" s="3">
        <v>48</v>
      </c>
      <c r="B25" s="2">
        <v>8.3989504000000004</v>
      </c>
      <c r="C25" s="67">
        <f t="shared" si="0"/>
        <v>2.6734689458873033</v>
      </c>
      <c r="D25" s="18">
        <f t="shared" si="9"/>
        <v>0.41573502161828291</v>
      </c>
      <c r="E25" s="2">
        <v>161.9</v>
      </c>
      <c r="F25" s="290">
        <v>0</v>
      </c>
      <c r="G25" s="67">
        <f t="shared" si="10"/>
        <v>434.51169419121072</v>
      </c>
      <c r="H25" s="67">
        <f t="shared" si="1"/>
        <v>2.502787358541374</v>
      </c>
      <c r="I25" s="37">
        <v>443.88</v>
      </c>
      <c r="J25" s="67">
        <f t="shared" si="19"/>
        <v>2.5567487999999998</v>
      </c>
      <c r="K25" s="2">
        <v>7.0000000000000007E-2</v>
      </c>
      <c r="L25" s="2">
        <v>0.7</v>
      </c>
      <c r="M25" s="67">
        <f t="shared" si="2"/>
        <v>4.3672398278930986</v>
      </c>
      <c r="N25" s="67">
        <f t="shared" si="3"/>
        <v>1.3901356125539699</v>
      </c>
      <c r="O25" s="67">
        <f t="shared" si="12"/>
        <v>84.9</v>
      </c>
      <c r="P25" s="2">
        <v>0.4</v>
      </c>
      <c r="Q25" s="67">
        <f t="shared" si="13"/>
        <v>59.274751480632901</v>
      </c>
      <c r="R25" s="67">
        <f t="shared" si="18"/>
        <v>0.34142256852844549</v>
      </c>
      <c r="S25" s="67">
        <f t="shared" si="4"/>
        <v>375.23694271057781</v>
      </c>
      <c r="T25" s="67">
        <f t="shared" si="5"/>
        <v>117.26154459705556</v>
      </c>
      <c r="U25" s="37">
        <v>64.73</v>
      </c>
      <c r="V25" s="67">
        <f t="shared" si="20"/>
        <v>0.37284479999999998</v>
      </c>
      <c r="W25" s="67">
        <f t="shared" si="7"/>
        <v>379.15</v>
      </c>
      <c r="X25" s="67">
        <f t="shared" si="21"/>
        <v>118.48437499999999</v>
      </c>
    </row>
    <row r="26" spans="1:24" ht="19">
      <c r="A26" s="3">
        <v>68</v>
      </c>
      <c r="B26" s="2">
        <v>9.0551183999999996</v>
      </c>
      <c r="C26" s="67">
        <f t="shared" si="0"/>
        <v>2.8823337072847486</v>
      </c>
      <c r="D26" s="18">
        <f t="shared" si="9"/>
        <v>0.41401098901098904</v>
      </c>
      <c r="E26" s="2">
        <v>136.5</v>
      </c>
      <c r="F26" s="290">
        <v>0</v>
      </c>
      <c r="G26" s="67">
        <f t="shared" si="10"/>
        <v>424.05360826370918</v>
      </c>
      <c r="H26" s="67">
        <f t="shared" si="1"/>
        <v>2.4425487835989652</v>
      </c>
      <c r="I26" s="37">
        <v>437.08</v>
      </c>
      <c r="J26" s="67">
        <f t="shared" si="19"/>
        <v>2.5175807999999997</v>
      </c>
      <c r="K26" s="2">
        <v>7.0000000000000007E-2</v>
      </c>
      <c r="L26" s="2">
        <v>0.7</v>
      </c>
      <c r="M26" s="67">
        <f t="shared" si="2"/>
        <v>5.0234078278930978</v>
      </c>
      <c r="N26" s="67">
        <f t="shared" si="3"/>
        <v>1.5990003739514151</v>
      </c>
      <c r="O26" s="67">
        <f t="shared" si="12"/>
        <v>59.5</v>
      </c>
      <c r="P26" s="2">
        <v>0.4</v>
      </c>
      <c r="Q26" s="67">
        <f t="shared" si="13"/>
        <v>54.961909085419137</v>
      </c>
      <c r="R26" s="67">
        <f t="shared" si="18"/>
        <v>0.31658059633201424</v>
      </c>
      <c r="S26" s="67">
        <f t="shared" si="4"/>
        <v>369.09169917829001</v>
      </c>
      <c r="T26" s="67">
        <f t="shared" si="5"/>
        <v>115.34115599321562</v>
      </c>
      <c r="U26" s="37">
        <v>61.04</v>
      </c>
      <c r="V26" s="67">
        <f t="shared" si="20"/>
        <v>0.35159039999999997</v>
      </c>
      <c r="W26" s="67">
        <f t="shared" si="7"/>
        <v>376.03999999999996</v>
      </c>
      <c r="X26" s="67">
        <f t="shared" si="21"/>
        <v>117.51249999999999</v>
      </c>
    </row>
    <row r="27" spans="1:24" ht="19">
      <c r="A27" s="4">
        <v>37</v>
      </c>
      <c r="B27" s="9">
        <v>8.4645671999999994</v>
      </c>
      <c r="C27" s="67">
        <f t="shared" si="0"/>
        <v>2.6943554220270478</v>
      </c>
      <c r="D27" s="18">
        <f t="shared" si="9"/>
        <v>0.41532882011605421</v>
      </c>
      <c r="E27" s="2">
        <v>155.1</v>
      </c>
      <c r="F27" s="290">
        <v>0</v>
      </c>
      <c r="G27" s="67">
        <f t="shared" si="10"/>
        <v>422.37806556837279</v>
      </c>
      <c r="H27" s="67">
        <f>G27*$N$1*$P$1/2000</f>
        <v>2.4328976576738275</v>
      </c>
      <c r="I27" s="37">
        <v>432.03</v>
      </c>
      <c r="J27" s="67">
        <f t="shared" si="19"/>
        <v>2.4884927999999995</v>
      </c>
      <c r="K27" s="2">
        <v>7.0000000000000007E-2</v>
      </c>
      <c r="L27" s="2">
        <v>0.7</v>
      </c>
      <c r="M27" s="67">
        <f t="shared" si="2"/>
        <v>4.4328566278930985</v>
      </c>
      <c r="N27" s="67">
        <f t="shared" si="3"/>
        <v>1.4110220886937144</v>
      </c>
      <c r="O27" s="67">
        <f t="shared" si="12"/>
        <v>78.099999999999994</v>
      </c>
      <c r="P27" s="2">
        <v>0.4</v>
      </c>
      <c r="Q27" s="67">
        <f t="shared" si="13"/>
        <v>56.178012677293019</v>
      </c>
      <c r="R27" s="67">
        <f t="shared" si="18"/>
        <v>0.32358535302120778</v>
      </c>
      <c r="S27" s="67">
        <f t="shared" si="4"/>
        <v>366.20005289107979</v>
      </c>
      <c r="T27" s="67">
        <f t="shared" si="5"/>
        <v>114.43751652846242</v>
      </c>
      <c r="U27" s="37">
        <v>61.48</v>
      </c>
      <c r="V27" s="67">
        <f t="shared" si="20"/>
        <v>0.35412480000000002</v>
      </c>
      <c r="W27" s="67">
        <f t="shared" si="7"/>
        <v>370.54999999999995</v>
      </c>
      <c r="X27" s="67">
        <f t="shared" si="21"/>
        <v>115.79687499999999</v>
      </c>
    </row>
    <row r="28" spans="1:24" ht="19">
      <c r="A28" s="3">
        <v>35</v>
      </c>
      <c r="B28" s="2">
        <v>8.4600000000000009</v>
      </c>
      <c r="C28" s="67">
        <f t="shared" si="0"/>
        <v>2.6929016371148693</v>
      </c>
      <c r="D28" s="18">
        <f t="shared" si="9"/>
        <v>0.41524707412223671</v>
      </c>
      <c r="E28" s="2">
        <v>153.80000000000001</v>
      </c>
      <c r="F28" s="290">
        <v>0</v>
      </c>
      <c r="G28" s="67">
        <f t="shared" si="10"/>
        <v>418.30361608892133</v>
      </c>
      <c r="H28" s="67">
        <f t="shared" ref="H28:H79" si="22">G28*$N$1*$P$1/2000</f>
        <v>2.4094288286721866</v>
      </c>
      <c r="I28" s="37">
        <v>428.5</v>
      </c>
      <c r="J28" s="67">
        <f t="shared" si="19"/>
        <v>2.4681599999999997</v>
      </c>
      <c r="K28" s="2">
        <v>7.0000000000000007E-2</v>
      </c>
      <c r="L28" s="2">
        <v>0.7</v>
      </c>
      <c r="M28" s="67">
        <f t="shared" si="2"/>
        <v>4.4282894278930991</v>
      </c>
      <c r="N28" s="67">
        <f t="shared" si="3"/>
        <v>1.4095683037815359</v>
      </c>
      <c r="O28" s="67">
        <f t="shared" si="12"/>
        <v>76.800000000000011</v>
      </c>
      <c r="P28" s="2">
        <v>0.4</v>
      </c>
      <c r="Q28" s="67">
        <f t="shared" si="13"/>
        <v>55.129135719615988</v>
      </c>
      <c r="R28" s="67">
        <f t="shared" si="18"/>
        <v>0.31754382174498808</v>
      </c>
      <c r="S28" s="67">
        <f t="shared" si="4"/>
        <v>363.17448036930534</v>
      </c>
      <c r="T28" s="67">
        <f t="shared" si="5"/>
        <v>113.49202511540791</v>
      </c>
      <c r="U28" s="37">
        <v>60.5</v>
      </c>
      <c r="V28" s="67">
        <f t="shared" si="20"/>
        <v>0.34847999999999996</v>
      </c>
      <c r="W28" s="67">
        <f t="shared" si="7"/>
        <v>368</v>
      </c>
      <c r="X28" s="67">
        <f t="shared" si="21"/>
        <v>115</v>
      </c>
    </row>
    <row r="29" spans="1:24" ht="19">
      <c r="A29" s="3">
        <v>71</v>
      </c>
      <c r="B29" s="2">
        <v>8.5301840000000002</v>
      </c>
      <c r="C29" s="67">
        <f t="shared" si="0"/>
        <v>2.7152418981667923</v>
      </c>
      <c r="D29" s="18">
        <f t="shared" si="9"/>
        <v>0.41479591836734697</v>
      </c>
      <c r="E29" s="8">
        <v>147</v>
      </c>
      <c r="F29" s="290">
        <v>0</v>
      </c>
      <c r="G29" s="67">
        <f t="shared" si="10"/>
        <v>406.02856079044744</v>
      </c>
      <c r="H29" s="67">
        <f t="shared" si="22"/>
        <v>2.3387245101529772</v>
      </c>
      <c r="I29" s="37">
        <v>419.17</v>
      </c>
      <c r="J29" s="67">
        <f t="shared" si="19"/>
        <v>2.4144191999999998</v>
      </c>
      <c r="K29" s="2">
        <v>7.0000000000000007E-2</v>
      </c>
      <c r="L29" s="2">
        <v>0.7</v>
      </c>
      <c r="M29" s="67">
        <f t="shared" si="2"/>
        <v>4.4984734278930985</v>
      </c>
      <c r="N29" s="67">
        <f t="shared" si="3"/>
        <v>1.4319085648334589</v>
      </c>
      <c r="O29" s="67">
        <f t="shared" si="12"/>
        <v>70</v>
      </c>
      <c r="P29" s="2">
        <v>0.4</v>
      </c>
      <c r="Q29" s="67">
        <f t="shared" si="13"/>
        <v>51.853291172110652</v>
      </c>
      <c r="R29" s="67">
        <f t="shared" si="18"/>
        <v>0.29867495715135733</v>
      </c>
      <c r="S29" s="67">
        <f t="shared" si="4"/>
        <v>354.17526961833681</v>
      </c>
      <c r="T29" s="67">
        <f t="shared" si="5"/>
        <v>110.67977175573024</v>
      </c>
      <c r="U29" s="37">
        <v>56.96</v>
      </c>
      <c r="V29" s="67">
        <f t="shared" si="20"/>
        <v>0.32808959999999998</v>
      </c>
      <c r="W29" s="67">
        <f t="shared" si="7"/>
        <v>362.21000000000004</v>
      </c>
      <c r="X29" s="67">
        <f t="shared" si="21"/>
        <v>113.19062500000001</v>
      </c>
    </row>
    <row r="30" spans="1:24" ht="19">
      <c r="A30" s="3" t="s">
        <v>2</v>
      </c>
      <c r="B30" s="2">
        <v>8.6</v>
      </c>
      <c r="C30" s="67">
        <f t="shared" si="0"/>
        <v>2.7374650211805998</v>
      </c>
      <c r="D30" s="18">
        <f t="shared" si="9"/>
        <v>0.41461937716262975</v>
      </c>
      <c r="E30" s="2">
        <v>144.5</v>
      </c>
      <c r="F30" s="290">
        <v>0</v>
      </c>
      <c r="G30" s="67">
        <f t="shared" si="10"/>
        <v>405.5107024439659</v>
      </c>
      <c r="H30" s="67">
        <f t="shared" si="22"/>
        <v>2.3357416460772438</v>
      </c>
      <c r="I30" s="37">
        <v>408.47</v>
      </c>
      <c r="J30" s="67">
        <f t="shared" si="19"/>
        <v>2.3527872000000003</v>
      </c>
      <c r="K30" s="2">
        <v>7.0000000000000007E-2</v>
      </c>
      <c r="L30" s="2">
        <v>0.7</v>
      </c>
      <c r="M30" s="67">
        <f t="shared" si="2"/>
        <v>4.5682894278930979</v>
      </c>
      <c r="N30" s="67">
        <f t="shared" si="3"/>
        <v>1.4541316878472663</v>
      </c>
      <c r="O30" s="67">
        <f t="shared" si="12"/>
        <v>67.5</v>
      </c>
      <c r="P30" s="2">
        <v>0.4</v>
      </c>
      <c r="Q30" s="67">
        <f t="shared" si="13"/>
        <v>51.565467906971307</v>
      </c>
      <c r="R30" s="67">
        <f t="shared" si="18"/>
        <v>0.29701709514415464</v>
      </c>
      <c r="S30" s="67">
        <f t="shared" si="4"/>
        <v>353.94523453699458</v>
      </c>
      <c r="T30" s="67">
        <f t="shared" si="5"/>
        <v>110.60788579281081</v>
      </c>
      <c r="U30" s="37">
        <v>56.56</v>
      </c>
      <c r="V30" s="67">
        <f t="shared" si="20"/>
        <v>0.32578560000000001</v>
      </c>
      <c r="W30" s="67">
        <f t="shared" si="7"/>
        <v>351.91</v>
      </c>
      <c r="X30" s="67">
        <f t="shared" si="21"/>
        <v>109.971875</v>
      </c>
    </row>
    <row r="31" spans="1:24" ht="19">
      <c r="A31" s="3">
        <v>95</v>
      </c>
      <c r="B31" s="2">
        <v>8.5</v>
      </c>
      <c r="C31" s="67">
        <f t="shared" si="0"/>
        <v>2.7056340325622208</v>
      </c>
      <c r="D31" s="18">
        <f t="shared" si="9"/>
        <v>0.41449579831932776</v>
      </c>
      <c r="E31" s="2">
        <v>142.80000000000001</v>
      </c>
      <c r="F31" s="290">
        <v>0</v>
      </c>
      <c r="G31" s="67">
        <f t="shared" si="10"/>
        <v>391.35795655910579</v>
      </c>
      <c r="H31" s="67">
        <f t="shared" si="22"/>
        <v>2.2542218297804495</v>
      </c>
      <c r="I31" s="37">
        <v>404.49</v>
      </c>
      <c r="J31" s="67">
        <f t="shared" si="19"/>
        <v>2.3298624000000001</v>
      </c>
      <c r="K31" s="2">
        <v>7.0000000000000007E-2</v>
      </c>
      <c r="L31" s="2">
        <v>0.7</v>
      </c>
      <c r="M31" s="67">
        <f t="shared" si="2"/>
        <v>4.4682894278930982</v>
      </c>
      <c r="N31" s="67">
        <f t="shared" si="3"/>
        <v>1.4223006992288874</v>
      </c>
      <c r="O31" s="67">
        <f t="shared" si="12"/>
        <v>65.800000000000011</v>
      </c>
      <c r="P31" s="2">
        <v>0.4</v>
      </c>
      <c r="Q31" s="67">
        <f t="shared" si="13"/>
        <v>48.090185661273004</v>
      </c>
      <c r="R31" s="67">
        <f t="shared" si="18"/>
        <v>0.2769994694089325</v>
      </c>
      <c r="S31" s="67">
        <f t="shared" si="4"/>
        <v>343.2677708978328</v>
      </c>
      <c r="T31" s="67">
        <f t="shared" si="5"/>
        <v>107.27117840557274</v>
      </c>
      <c r="U31" s="37">
        <v>52.96</v>
      </c>
      <c r="V31" s="67">
        <f t="shared" si="20"/>
        <v>0.30504959999999998</v>
      </c>
      <c r="W31" s="67">
        <f t="shared" si="7"/>
        <v>351.53000000000003</v>
      </c>
      <c r="X31" s="67">
        <f t="shared" si="21"/>
        <v>109.85312500000001</v>
      </c>
    </row>
    <row r="32" spans="1:24" ht="19">
      <c r="A32" s="1">
        <v>49</v>
      </c>
      <c r="B32" s="2">
        <v>8.17</v>
      </c>
      <c r="C32" s="67">
        <f t="shared" si="0"/>
        <v>2.6005917701215697</v>
      </c>
      <c r="D32" s="18">
        <f t="shared" si="9"/>
        <v>0.41527237354085605</v>
      </c>
      <c r="E32" s="2">
        <v>154.19999999999999</v>
      </c>
      <c r="F32" s="290">
        <v>0</v>
      </c>
      <c r="G32" s="67">
        <f t="shared" si="10"/>
        <v>391.1555558936268</v>
      </c>
      <c r="H32" s="67">
        <f t="shared" si="22"/>
        <v>2.2530560019472898</v>
      </c>
      <c r="I32" s="37">
        <v>401.38</v>
      </c>
      <c r="J32" s="67">
        <f t="shared" si="19"/>
        <v>2.3119487999999997</v>
      </c>
      <c r="K32" s="2">
        <v>7.0000000000000007E-2</v>
      </c>
      <c r="L32" s="2">
        <v>0.7</v>
      </c>
      <c r="M32" s="67">
        <f t="shared" si="2"/>
        <v>4.1382894278930982</v>
      </c>
      <c r="N32" s="67">
        <f t="shared" si="3"/>
        <v>1.3172584367882363</v>
      </c>
      <c r="O32" s="67">
        <f t="shared" si="12"/>
        <v>77.199999999999989</v>
      </c>
      <c r="P32" s="2">
        <v>0.4</v>
      </c>
      <c r="Q32" s="67">
        <f t="shared" si="13"/>
        <v>48.39572397201654</v>
      </c>
      <c r="R32" s="67">
        <f t="shared" si="18"/>
        <v>0.27875937007881524</v>
      </c>
      <c r="S32" s="67">
        <f t="shared" si="4"/>
        <v>342.75983192161027</v>
      </c>
      <c r="T32" s="67">
        <f t="shared" si="5"/>
        <v>107.1124474755032</v>
      </c>
      <c r="U32" s="37">
        <v>53.34</v>
      </c>
      <c r="V32" s="67">
        <f t="shared" si="20"/>
        <v>0.30723840000000002</v>
      </c>
      <c r="W32" s="67">
        <f t="shared" si="7"/>
        <v>348.03999999999996</v>
      </c>
      <c r="X32" s="67">
        <f t="shared" si="21"/>
        <v>108.76249999999999</v>
      </c>
    </row>
    <row r="33" spans="1:24" ht="19">
      <c r="A33" s="3">
        <v>66</v>
      </c>
      <c r="B33" s="2">
        <v>8.33</v>
      </c>
      <c r="C33" s="67">
        <f t="shared" si="0"/>
        <v>2.6515213519109766</v>
      </c>
      <c r="D33" s="18">
        <f t="shared" si="9"/>
        <v>0.41479591836734697</v>
      </c>
      <c r="E33" s="8">
        <v>147</v>
      </c>
      <c r="F33" s="290">
        <v>0</v>
      </c>
      <c r="G33" s="67">
        <f t="shared" si="10"/>
        <v>387.19504250218438</v>
      </c>
      <c r="H33" s="67">
        <f t="shared" si="22"/>
        <v>2.2302434448125821</v>
      </c>
      <c r="I33" s="37">
        <v>397.91</v>
      </c>
      <c r="J33" s="67">
        <f t="shared" si="19"/>
        <v>2.2919616</v>
      </c>
      <c r="K33" s="2">
        <v>7.0000000000000007E-2</v>
      </c>
      <c r="L33" s="2">
        <v>0.7</v>
      </c>
      <c r="M33" s="67">
        <f t="shared" si="2"/>
        <v>4.2982894278930992</v>
      </c>
      <c r="N33" s="67">
        <f t="shared" si="3"/>
        <v>1.3681880185776432</v>
      </c>
      <c r="O33" s="67">
        <f t="shared" si="12"/>
        <v>70</v>
      </c>
      <c r="P33" s="2">
        <v>0.4</v>
      </c>
      <c r="Q33" s="67">
        <f t="shared" si="13"/>
        <v>47.340988169759449</v>
      </c>
      <c r="R33" s="67">
        <f t="shared" si="18"/>
        <v>0.27268409185781445</v>
      </c>
      <c r="S33" s="67">
        <f t="shared" si="4"/>
        <v>339.85405433242494</v>
      </c>
      <c r="T33" s="67">
        <f t="shared" si="5"/>
        <v>106.20439197888278</v>
      </c>
      <c r="U33" s="37">
        <v>52.31</v>
      </c>
      <c r="V33" s="67">
        <f t="shared" si="20"/>
        <v>0.30130560000000001</v>
      </c>
      <c r="W33" s="67">
        <f t="shared" si="7"/>
        <v>345.6</v>
      </c>
      <c r="X33" s="67">
        <f t="shared" si="21"/>
        <v>108</v>
      </c>
    </row>
    <row r="34" spans="1:24" ht="19">
      <c r="A34" s="3">
        <v>36</v>
      </c>
      <c r="B34" s="2">
        <v>8.2020999999999997</v>
      </c>
      <c r="C34" s="67">
        <f t="shared" si="0"/>
        <v>2.6108095174680694</v>
      </c>
      <c r="D34" s="18">
        <f t="shared" si="9"/>
        <v>0.41496655518394654</v>
      </c>
      <c r="E34" s="2">
        <v>149.5</v>
      </c>
      <c r="F34" s="290">
        <v>0</v>
      </c>
      <c r="G34" s="67">
        <f t="shared" si="10"/>
        <v>381.93757323724589</v>
      </c>
      <c r="H34" s="67">
        <f t="shared" si="22"/>
        <v>2.1999604218465363</v>
      </c>
      <c r="I34" s="37">
        <v>392.42</v>
      </c>
      <c r="J34" s="67">
        <f t="shared" si="19"/>
        <v>2.2603391999999998</v>
      </c>
      <c r="K34" s="2">
        <v>7.0000000000000007E-2</v>
      </c>
      <c r="L34" s="2">
        <v>0.7</v>
      </c>
      <c r="M34" s="67">
        <f t="shared" si="2"/>
        <v>4.170389427893098</v>
      </c>
      <c r="N34" s="67">
        <f t="shared" si="3"/>
        <v>1.327476184134736</v>
      </c>
      <c r="O34" s="67">
        <f t="shared" si="12"/>
        <v>72.5</v>
      </c>
      <c r="P34" s="2">
        <v>0.4</v>
      </c>
      <c r="Q34" s="67">
        <f t="shared" si="13"/>
        <v>46.15717242014518</v>
      </c>
      <c r="R34" s="67">
        <f t="shared" si="18"/>
        <v>0.2658653131400362</v>
      </c>
      <c r="S34" s="67">
        <f t="shared" si="4"/>
        <v>335.78040081710071</v>
      </c>
      <c r="T34" s="67">
        <f t="shared" si="5"/>
        <v>104.93137525534397</v>
      </c>
      <c r="U34" s="37">
        <v>51</v>
      </c>
      <c r="V34" s="67">
        <f t="shared" si="20"/>
        <v>0.29375999999999997</v>
      </c>
      <c r="W34" s="67">
        <f t="shared" si="7"/>
        <v>341.42</v>
      </c>
      <c r="X34" s="67">
        <f t="shared" si="21"/>
        <v>106.69374999999999</v>
      </c>
    </row>
    <row r="35" spans="1:24" ht="19">
      <c r="A35" s="3">
        <v>79</v>
      </c>
      <c r="B35" s="2">
        <v>8.26</v>
      </c>
      <c r="C35" s="67">
        <f t="shared" si="0"/>
        <v>2.6292396598781109</v>
      </c>
      <c r="D35" s="18">
        <f t="shared" si="9"/>
        <v>0.41482360922659434</v>
      </c>
      <c r="E35" s="2">
        <v>147.4</v>
      </c>
      <c r="F35" s="290">
        <v>0</v>
      </c>
      <c r="G35" s="67">
        <f t="shared" si="10"/>
        <v>381.776348917961</v>
      </c>
      <c r="H35" s="67">
        <f t="shared" si="22"/>
        <v>2.1990317697674548</v>
      </c>
      <c r="I35" s="37">
        <v>392.98</v>
      </c>
      <c r="J35" s="67">
        <f t="shared" si="19"/>
        <v>2.2635648000000002</v>
      </c>
      <c r="K35" s="2">
        <v>7.0000000000000007E-2</v>
      </c>
      <c r="L35" s="2">
        <v>0.7</v>
      </c>
      <c r="M35" s="67">
        <f t="shared" si="2"/>
        <v>4.228289427893098</v>
      </c>
      <c r="N35" s="67">
        <f t="shared" si="3"/>
        <v>1.3459063265447775</v>
      </c>
      <c r="O35" s="67">
        <f t="shared" si="12"/>
        <v>70.400000000000006</v>
      </c>
      <c r="P35" s="2">
        <v>0.4</v>
      </c>
      <c r="Q35" s="67">
        <f t="shared" si="13"/>
        <v>46.073376554890267</v>
      </c>
      <c r="R35" s="67">
        <f t="shared" si="18"/>
        <v>0.26538264895616792</v>
      </c>
      <c r="S35" s="67">
        <f t="shared" si="4"/>
        <v>335.70297236307073</v>
      </c>
      <c r="T35" s="67">
        <f t="shared" si="5"/>
        <v>104.90717886345959</v>
      </c>
      <c r="U35" s="37">
        <v>51.08</v>
      </c>
      <c r="V35" s="67">
        <f t="shared" si="20"/>
        <v>0.2942208</v>
      </c>
      <c r="W35" s="67">
        <f t="shared" si="7"/>
        <v>341.90000000000003</v>
      </c>
      <c r="X35" s="67">
        <f t="shared" si="21"/>
        <v>106.84375</v>
      </c>
    </row>
    <row r="36" spans="1:24" ht="19">
      <c r="A36" s="1">
        <v>50</v>
      </c>
      <c r="B36" s="2">
        <f>2.52*3.28084</f>
        <v>8.2677168000000005</v>
      </c>
      <c r="C36" s="67">
        <f t="shared" ref="C36:C67" si="23">B36/PI()</f>
        <v>2.6316959936078144</v>
      </c>
      <c r="D36" s="18">
        <f t="shared" si="9"/>
        <v>0.41479591836734697</v>
      </c>
      <c r="E36" s="8">
        <v>147</v>
      </c>
      <c r="F36" s="290">
        <v>0</v>
      </c>
      <c r="G36" s="67">
        <f t="shared" si="10"/>
        <v>381.42659355675403</v>
      </c>
      <c r="H36" s="67">
        <f t="shared" si="22"/>
        <v>2.1970171788869028</v>
      </c>
      <c r="I36" s="37">
        <v>391.94</v>
      </c>
      <c r="J36" s="67">
        <f t="shared" si="19"/>
        <v>2.2575743999999998</v>
      </c>
      <c r="K36" s="2">
        <v>7.0000000000000007E-2</v>
      </c>
      <c r="L36" s="2">
        <v>0.7</v>
      </c>
      <c r="M36" s="67">
        <f t="shared" ref="M36:M67" si="24">N36*PI()</f>
        <v>4.2360062278930997</v>
      </c>
      <c r="N36" s="67">
        <f t="shared" ref="N36:N67" si="25">C36-(K36*2)/12*110</f>
        <v>1.3483626602744809</v>
      </c>
      <c r="O36" s="67">
        <f t="shared" si="12"/>
        <v>70</v>
      </c>
      <c r="P36" s="2">
        <v>0.4</v>
      </c>
      <c r="Q36" s="67">
        <f t="shared" si="13"/>
        <v>45.978964642368723</v>
      </c>
      <c r="R36" s="67">
        <f t="shared" si="18"/>
        <v>0.26483883634004385</v>
      </c>
      <c r="S36" s="67">
        <f t="shared" ref="S36:S67" si="26">G36-Q36</f>
        <v>335.44762891438529</v>
      </c>
      <c r="T36" s="67">
        <f t="shared" ref="T36:T67" si="27">S36/(160/50)</f>
        <v>104.8273840357454</v>
      </c>
      <c r="U36" s="37">
        <v>50.8</v>
      </c>
      <c r="V36" s="67">
        <f t="shared" si="20"/>
        <v>0.29260799999999992</v>
      </c>
      <c r="W36" s="67">
        <f t="shared" ref="W36:W67" si="28">I36-U36</f>
        <v>341.14</v>
      </c>
      <c r="X36" s="67">
        <f t="shared" si="21"/>
        <v>106.60624999999999</v>
      </c>
    </row>
    <row r="37" spans="1:24" ht="19">
      <c r="A37" s="1">
        <v>56</v>
      </c>
      <c r="B37" s="2">
        <f>2.52*3.28084</f>
        <v>8.2677168000000005</v>
      </c>
      <c r="C37" s="67">
        <f t="shared" si="23"/>
        <v>2.6316959936078144</v>
      </c>
      <c r="D37" s="18">
        <f t="shared" ref="D37:D68" si="29">(6/E37)*0.25+(1/3)*(0.45)+(1-(0.45)-(6/E37))*0.5</f>
        <v>0.41479591836734697</v>
      </c>
      <c r="E37" s="8">
        <v>147</v>
      </c>
      <c r="F37" s="290">
        <v>0</v>
      </c>
      <c r="G37" s="67">
        <f t="shared" si="10"/>
        <v>381.42659355675403</v>
      </c>
      <c r="H37" s="67">
        <f t="shared" si="22"/>
        <v>2.1970171788869028</v>
      </c>
      <c r="I37" s="37">
        <v>391.94</v>
      </c>
      <c r="J37" s="67">
        <f t="shared" si="19"/>
        <v>2.2575743999999998</v>
      </c>
      <c r="K37" s="2">
        <v>7.0000000000000007E-2</v>
      </c>
      <c r="L37" s="2">
        <v>0.7</v>
      </c>
      <c r="M37" s="67">
        <f t="shared" si="24"/>
        <v>4.2360062278930997</v>
      </c>
      <c r="N37" s="67">
        <f t="shared" si="25"/>
        <v>1.3483626602744809</v>
      </c>
      <c r="O37" s="67">
        <f t="shared" si="12"/>
        <v>70</v>
      </c>
      <c r="P37" s="2">
        <v>0.4</v>
      </c>
      <c r="Q37" s="67">
        <f t="shared" si="13"/>
        <v>45.978964642368723</v>
      </c>
      <c r="R37" s="67">
        <f t="shared" si="18"/>
        <v>0.26483883634004385</v>
      </c>
      <c r="S37" s="67">
        <f t="shared" si="26"/>
        <v>335.44762891438529</v>
      </c>
      <c r="T37" s="67">
        <f t="shared" si="27"/>
        <v>104.8273840357454</v>
      </c>
      <c r="U37" s="37">
        <v>50.8</v>
      </c>
      <c r="V37" s="67">
        <f t="shared" si="20"/>
        <v>0.29260799999999992</v>
      </c>
      <c r="W37" s="67">
        <f t="shared" si="28"/>
        <v>341.14</v>
      </c>
      <c r="X37" s="67">
        <f t="shared" si="21"/>
        <v>106.60624999999999</v>
      </c>
    </row>
    <row r="38" spans="1:24" ht="19">
      <c r="A38" s="3">
        <v>50</v>
      </c>
      <c r="B38" s="2">
        <v>8.1</v>
      </c>
      <c r="C38" s="67">
        <f t="shared" si="23"/>
        <v>2.5783100780887045</v>
      </c>
      <c r="D38" s="18">
        <f t="shared" si="29"/>
        <v>0.41519607843137257</v>
      </c>
      <c r="E38" s="9">
        <v>153</v>
      </c>
      <c r="F38" s="290">
        <v>0</v>
      </c>
      <c r="G38" s="67">
        <f t="shared" si="10"/>
        <v>381.4193202310247</v>
      </c>
      <c r="H38" s="67">
        <f t="shared" si="22"/>
        <v>2.1969752845307022</v>
      </c>
      <c r="I38" s="37">
        <v>392.24</v>
      </c>
      <c r="J38" s="67">
        <f t="shared" si="19"/>
        <v>2.2593024000000002</v>
      </c>
      <c r="K38" s="2">
        <v>7.0000000000000007E-2</v>
      </c>
      <c r="L38" s="2">
        <v>0.7</v>
      </c>
      <c r="M38" s="67">
        <f t="shared" si="24"/>
        <v>4.0682894278930988</v>
      </c>
      <c r="N38" s="67">
        <f t="shared" si="25"/>
        <v>1.2949767447553711</v>
      </c>
      <c r="O38" s="67">
        <f t="shared" si="12"/>
        <v>76</v>
      </c>
      <c r="P38" s="2">
        <v>0.4</v>
      </c>
      <c r="Q38" s="67">
        <f t="shared" si="13"/>
        <v>46.045293348486766</v>
      </c>
      <c r="R38" s="67">
        <f t="shared" si="18"/>
        <v>0.26522088968728369</v>
      </c>
      <c r="S38" s="67">
        <f t="shared" si="26"/>
        <v>335.37402688253792</v>
      </c>
      <c r="T38" s="67">
        <f t="shared" si="27"/>
        <v>104.8043834007931</v>
      </c>
      <c r="U38" s="37">
        <v>50.21</v>
      </c>
      <c r="V38" s="67">
        <f t="shared" si="20"/>
        <v>0.28920959999999996</v>
      </c>
      <c r="W38" s="67">
        <f t="shared" si="28"/>
        <v>342.03000000000003</v>
      </c>
      <c r="X38" s="67">
        <f t="shared" si="21"/>
        <v>106.88437500000001</v>
      </c>
    </row>
    <row r="39" spans="1:24" ht="19">
      <c r="A39" s="3">
        <v>74</v>
      </c>
      <c r="B39" s="2">
        <v>8.27</v>
      </c>
      <c r="C39" s="67">
        <f t="shared" si="23"/>
        <v>2.6324227587399487</v>
      </c>
      <c r="D39" s="18">
        <f t="shared" si="29"/>
        <v>0.41465517241379313</v>
      </c>
      <c r="E39" s="8">
        <v>145</v>
      </c>
      <c r="F39" s="290">
        <v>0</v>
      </c>
      <c r="G39" s="67">
        <f t="shared" si="10"/>
        <v>376.31721397516287</v>
      </c>
      <c r="H39" s="67">
        <f t="shared" si="22"/>
        <v>2.1675871524969383</v>
      </c>
      <c r="I39" s="37">
        <v>386.74</v>
      </c>
      <c r="J39" s="67">
        <f t="shared" si="19"/>
        <v>2.2276223999999996</v>
      </c>
      <c r="K39" s="2">
        <v>7.0000000000000007E-2</v>
      </c>
      <c r="L39" s="2">
        <v>0.7</v>
      </c>
      <c r="M39" s="67">
        <f t="shared" si="24"/>
        <v>4.2382894278930978</v>
      </c>
      <c r="N39" s="67">
        <f t="shared" si="25"/>
        <v>1.3490894254066153</v>
      </c>
      <c r="O39" s="67">
        <f t="shared" si="12"/>
        <v>68</v>
      </c>
      <c r="P39" s="2">
        <v>0.4</v>
      </c>
      <c r="Q39" s="67">
        <f t="shared" si="13"/>
        <v>44.713441931048877</v>
      </c>
      <c r="R39" s="67">
        <f t="shared" si="18"/>
        <v>0.25754942552284155</v>
      </c>
      <c r="S39" s="67">
        <f t="shared" si="26"/>
        <v>331.60377204411401</v>
      </c>
      <c r="T39" s="67">
        <f t="shared" si="27"/>
        <v>103.62617876378562</v>
      </c>
      <c r="U39" s="37">
        <v>49.42</v>
      </c>
      <c r="V39" s="67">
        <f t="shared" si="20"/>
        <v>0.2846592</v>
      </c>
      <c r="W39" s="67">
        <f t="shared" si="28"/>
        <v>337.32</v>
      </c>
      <c r="X39" s="67">
        <f t="shared" si="21"/>
        <v>105.41249999999999</v>
      </c>
    </row>
    <row r="40" spans="1:24" ht="19">
      <c r="A40" s="3">
        <v>70</v>
      </c>
      <c r="B40" s="2">
        <v>8</v>
      </c>
      <c r="C40" s="67">
        <f t="shared" si="23"/>
        <v>2.5464790894703255</v>
      </c>
      <c r="D40" s="18">
        <f t="shared" si="29"/>
        <v>0.415228013029316</v>
      </c>
      <c r="E40" s="2">
        <v>153.5</v>
      </c>
      <c r="F40" s="290">
        <v>0</v>
      </c>
      <c r="G40" s="67">
        <f t="shared" si="10"/>
        <v>373.30428521976427</v>
      </c>
      <c r="H40" s="67">
        <f t="shared" si="22"/>
        <v>2.150232682865842</v>
      </c>
      <c r="I40" s="37">
        <v>384.42</v>
      </c>
      <c r="J40" s="67">
        <f t="shared" si="19"/>
        <v>2.2142591999999999</v>
      </c>
      <c r="K40" s="2">
        <v>7.0000000000000007E-2</v>
      </c>
      <c r="L40" s="2">
        <v>0.7</v>
      </c>
      <c r="M40" s="67">
        <f t="shared" si="24"/>
        <v>3.9682894278930987</v>
      </c>
      <c r="N40" s="67">
        <f t="shared" si="25"/>
        <v>1.2631457561369921</v>
      </c>
      <c r="O40" s="67">
        <f t="shared" si="12"/>
        <v>76.5</v>
      </c>
      <c r="P40" s="2">
        <v>0.4</v>
      </c>
      <c r="Q40" s="67">
        <f t="shared" si="13"/>
        <v>44.097714639829938</v>
      </c>
      <c r="R40" s="67">
        <f t="shared" si="18"/>
        <v>0.25400283632542042</v>
      </c>
      <c r="S40" s="67">
        <f t="shared" si="26"/>
        <v>329.20657057993435</v>
      </c>
      <c r="T40" s="67">
        <f t="shared" si="27"/>
        <v>102.87705330622948</v>
      </c>
      <c r="U40" s="37">
        <v>48.22</v>
      </c>
      <c r="V40" s="67">
        <f t="shared" si="20"/>
        <v>0.27774719999999997</v>
      </c>
      <c r="W40" s="67">
        <f t="shared" si="28"/>
        <v>336.20000000000005</v>
      </c>
      <c r="X40" s="67">
        <f t="shared" si="21"/>
        <v>105.06250000000001</v>
      </c>
    </row>
    <row r="41" spans="1:24" ht="19">
      <c r="A41" s="3">
        <v>29</v>
      </c>
      <c r="B41" s="2">
        <v>8.1692916000000011</v>
      </c>
      <c r="C41" s="67">
        <f t="shared" si="23"/>
        <v>2.6003662793981976</v>
      </c>
      <c r="D41" s="18">
        <f t="shared" si="29"/>
        <v>0.41479591836734697</v>
      </c>
      <c r="E41" s="8">
        <v>147</v>
      </c>
      <c r="F41" s="290">
        <v>0</v>
      </c>
      <c r="G41" s="67">
        <f t="shared" si="10"/>
        <v>372.39906505278901</v>
      </c>
      <c r="H41" s="67">
        <f t="shared" si="22"/>
        <v>2.1450186147040649</v>
      </c>
      <c r="I41" s="37">
        <v>383.07</v>
      </c>
      <c r="J41" s="67">
        <f t="shared" si="19"/>
        <v>2.2064832000000001</v>
      </c>
      <c r="K41" s="2">
        <v>7.0000000000000007E-2</v>
      </c>
      <c r="L41" s="2">
        <v>0.7</v>
      </c>
      <c r="M41" s="67">
        <f t="shared" si="24"/>
        <v>4.1375810278930993</v>
      </c>
      <c r="N41" s="67">
        <f t="shared" si="25"/>
        <v>1.3170329460648642</v>
      </c>
      <c r="O41" s="67">
        <f t="shared" si="12"/>
        <v>70</v>
      </c>
      <c r="P41" s="2">
        <v>0.4</v>
      </c>
      <c r="Q41" s="67">
        <f t="shared" si="13"/>
        <v>43.867110772522516</v>
      </c>
      <c r="R41" s="67">
        <f t="shared" si="18"/>
        <v>0.25267455804972966</v>
      </c>
      <c r="S41" s="67">
        <f t="shared" si="26"/>
        <v>328.53195428026652</v>
      </c>
      <c r="T41" s="67">
        <f t="shared" si="27"/>
        <v>102.66623571258329</v>
      </c>
      <c r="U41" s="37">
        <v>48.59</v>
      </c>
      <c r="V41" s="67">
        <f t="shared" si="20"/>
        <v>0.27987839999999997</v>
      </c>
      <c r="W41" s="67">
        <f t="shared" si="28"/>
        <v>334.48</v>
      </c>
      <c r="X41" s="67">
        <f t="shared" si="21"/>
        <v>104.52500000000001</v>
      </c>
    </row>
    <row r="42" spans="1:24" ht="19">
      <c r="A42" s="1">
        <v>51</v>
      </c>
      <c r="B42" s="2">
        <f>2.53*3.28084</f>
        <v>8.3005251999999992</v>
      </c>
      <c r="C42" s="67">
        <f t="shared" si="23"/>
        <v>2.6421392316776862</v>
      </c>
      <c r="D42" s="18">
        <f t="shared" si="29"/>
        <v>0.41422413793103452</v>
      </c>
      <c r="E42" s="2">
        <v>139.19999999999999</v>
      </c>
      <c r="F42" s="290">
        <v>0</v>
      </c>
      <c r="G42" s="67">
        <f t="shared" si="10"/>
        <v>363.55804484636411</v>
      </c>
      <c r="H42" s="67">
        <f t="shared" si="22"/>
        <v>2.0940943383150574</v>
      </c>
      <c r="I42" s="37">
        <v>374.47</v>
      </c>
      <c r="J42" s="67">
        <f t="shared" si="19"/>
        <v>2.1569472000000003</v>
      </c>
      <c r="K42" s="2">
        <v>7.0000000000000007E-2</v>
      </c>
      <c r="L42" s="2">
        <v>0.7</v>
      </c>
      <c r="M42" s="67">
        <f t="shared" si="24"/>
        <v>4.2688146278930974</v>
      </c>
      <c r="N42" s="67">
        <f t="shared" si="25"/>
        <v>1.3588058983443527</v>
      </c>
      <c r="O42" s="67">
        <f t="shared" si="12"/>
        <v>62.199999999999989</v>
      </c>
      <c r="P42" s="2">
        <v>0.4</v>
      </c>
      <c r="Q42" s="67">
        <f t="shared" si="13"/>
        <v>41.490908513022475</v>
      </c>
      <c r="R42" s="67">
        <f t="shared" si="18"/>
        <v>0.23898763303500944</v>
      </c>
      <c r="S42" s="67">
        <f t="shared" si="26"/>
        <v>322.06713633334164</v>
      </c>
      <c r="T42" s="67">
        <f t="shared" si="27"/>
        <v>100.64598010416925</v>
      </c>
      <c r="U42" s="37">
        <v>46.09</v>
      </c>
      <c r="V42" s="67">
        <f t="shared" si="20"/>
        <v>0.2654784</v>
      </c>
      <c r="W42" s="67">
        <f t="shared" si="28"/>
        <v>328.38</v>
      </c>
      <c r="X42" s="67">
        <f t="shared" si="21"/>
        <v>102.61874999999999</v>
      </c>
    </row>
    <row r="43" spans="1:24" ht="19">
      <c r="A43" s="3">
        <v>28</v>
      </c>
      <c r="B43" s="2">
        <v>7.8412076000000006</v>
      </c>
      <c r="C43" s="67">
        <f t="shared" si="23"/>
        <v>2.4959338986994748</v>
      </c>
      <c r="D43" s="18">
        <f t="shared" si="29"/>
        <v>0.41479591836734697</v>
      </c>
      <c r="E43" s="8">
        <v>147</v>
      </c>
      <c r="F43" s="290">
        <v>0</v>
      </c>
      <c r="G43" s="67">
        <f t="shared" si="10"/>
        <v>343.0881275282714</v>
      </c>
      <c r="H43" s="67">
        <f t="shared" si="22"/>
        <v>1.9761876145628432</v>
      </c>
      <c r="I43" s="37">
        <v>354.24</v>
      </c>
      <c r="J43" s="67">
        <f t="shared" si="19"/>
        <v>2.0404223999999997</v>
      </c>
      <c r="K43" s="2">
        <v>0.06</v>
      </c>
      <c r="L43" s="2">
        <v>0.7</v>
      </c>
      <c r="M43" s="67">
        <f t="shared" si="24"/>
        <v>4.3854556810512282</v>
      </c>
      <c r="N43" s="67">
        <f t="shared" si="25"/>
        <v>1.3959338986994747</v>
      </c>
      <c r="O43" s="67">
        <f t="shared" si="12"/>
        <v>70</v>
      </c>
      <c r="P43" s="2">
        <v>0.4</v>
      </c>
      <c r="Q43" s="67">
        <f t="shared" si="13"/>
        <v>49.280540283709989</v>
      </c>
      <c r="R43" s="67">
        <f t="shared" si="18"/>
        <v>0.28385591203416954</v>
      </c>
      <c r="S43" s="67">
        <f t="shared" si="26"/>
        <v>293.80758724456143</v>
      </c>
      <c r="T43" s="67">
        <f t="shared" si="27"/>
        <v>91.81487101392544</v>
      </c>
      <c r="U43" s="37">
        <v>54.61</v>
      </c>
      <c r="V43" s="67">
        <f t="shared" si="20"/>
        <v>0.31455359999999993</v>
      </c>
      <c r="W43" s="67">
        <f t="shared" si="28"/>
        <v>299.63</v>
      </c>
      <c r="X43" s="67">
        <f t="shared" si="21"/>
        <v>93.634374999999991</v>
      </c>
    </row>
    <row r="44" spans="1:24" ht="19">
      <c r="A44" s="3">
        <v>44</v>
      </c>
      <c r="B44" s="2">
        <v>7.5459319999999996</v>
      </c>
      <c r="C44" s="67">
        <f t="shared" si="23"/>
        <v>2.4019447560706237</v>
      </c>
      <c r="D44" s="18">
        <f t="shared" si="29"/>
        <v>0.41540307101727447</v>
      </c>
      <c r="E44" s="2">
        <v>156.30000000000001</v>
      </c>
      <c r="F44" s="290">
        <v>0</v>
      </c>
      <c r="G44" s="67">
        <f t="shared" si="10"/>
        <v>338.3314980773917</v>
      </c>
      <c r="H44" s="67">
        <f t="shared" si="22"/>
        <v>1.9487894289257763</v>
      </c>
      <c r="I44" s="37">
        <v>346.7</v>
      </c>
      <c r="J44" s="67">
        <f t="shared" si="19"/>
        <v>1.9969919999999997</v>
      </c>
      <c r="K44" s="2">
        <v>0.06</v>
      </c>
      <c r="L44" s="2">
        <v>0.7</v>
      </c>
      <c r="M44" s="67">
        <f t="shared" si="24"/>
        <v>4.0901800810512263</v>
      </c>
      <c r="N44" s="67">
        <f t="shared" si="25"/>
        <v>1.3019447560706237</v>
      </c>
      <c r="O44" s="67">
        <f t="shared" si="12"/>
        <v>79.300000000000011</v>
      </c>
      <c r="P44" s="2">
        <v>0.4</v>
      </c>
      <c r="Q44" s="67">
        <f t="shared" si="13"/>
        <v>48.563056597877619</v>
      </c>
      <c r="R44" s="67">
        <f t="shared" si="18"/>
        <v>0.27972320600377509</v>
      </c>
      <c r="S44" s="67">
        <f t="shared" si="26"/>
        <v>289.76844147951408</v>
      </c>
      <c r="T44" s="67">
        <f t="shared" si="27"/>
        <v>90.552637962348143</v>
      </c>
      <c r="U44" s="37">
        <v>53.09</v>
      </c>
      <c r="V44" s="67">
        <f t="shared" si="20"/>
        <v>0.30579840000000003</v>
      </c>
      <c r="W44" s="67">
        <f t="shared" si="28"/>
        <v>293.61</v>
      </c>
      <c r="X44" s="67">
        <f t="shared" si="21"/>
        <v>91.753124999999997</v>
      </c>
    </row>
    <row r="45" spans="1:24" ht="19">
      <c r="A45" s="3">
        <v>72</v>
      </c>
      <c r="B45" s="2">
        <v>7.75</v>
      </c>
      <c r="C45" s="67">
        <f t="shared" si="23"/>
        <v>2.4669016179243779</v>
      </c>
      <c r="D45" s="18">
        <f t="shared" si="29"/>
        <v>0.41479591836734697</v>
      </c>
      <c r="E45" s="8">
        <v>147</v>
      </c>
      <c r="F45" s="290">
        <v>0</v>
      </c>
      <c r="G45" s="67">
        <f t="shared" si="10"/>
        <v>335.15306108451711</v>
      </c>
      <c r="H45" s="67">
        <f t="shared" si="22"/>
        <v>1.9304816318468185</v>
      </c>
      <c r="I45" s="37">
        <v>345.81</v>
      </c>
      <c r="J45" s="67">
        <f t="shared" si="19"/>
        <v>1.9918656000000001</v>
      </c>
      <c r="K45" s="2">
        <v>0.06</v>
      </c>
      <c r="L45" s="2">
        <v>0.7</v>
      </c>
      <c r="M45" s="67">
        <f t="shared" si="24"/>
        <v>4.2942480810512276</v>
      </c>
      <c r="N45" s="67">
        <f t="shared" si="25"/>
        <v>1.3669016179243778</v>
      </c>
      <c r="O45" s="67">
        <f t="shared" si="12"/>
        <v>70</v>
      </c>
      <c r="P45" s="2">
        <v>0.4</v>
      </c>
      <c r="Q45" s="67">
        <f t="shared" si="13"/>
        <v>47.252007930548501</v>
      </c>
      <c r="R45" s="67">
        <f t="shared" si="18"/>
        <v>0.27217156567995937</v>
      </c>
      <c r="S45" s="67">
        <f t="shared" si="26"/>
        <v>287.90105315396863</v>
      </c>
      <c r="T45" s="67">
        <f t="shared" si="27"/>
        <v>89.969079110615198</v>
      </c>
      <c r="U45" s="37">
        <v>52.31</v>
      </c>
      <c r="V45" s="67">
        <f t="shared" si="20"/>
        <v>0.30130560000000001</v>
      </c>
      <c r="W45" s="67">
        <f t="shared" si="28"/>
        <v>293.5</v>
      </c>
      <c r="X45" s="67">
        <f t="shared" si="21"/>
        <v>91.71875</v>
      </c>
    </row>
    <row r="46" spans="1:24" ht="19">
      <c r="A46" s="3">
        <v>85</v>
      </c>
      <c r="B46" s="2">
        <v>7.6</v>
      </c>
      <c r="C46" s="67">
        <f t="shared" si="23"/>
        <v>2.4191551349968092</v>
      </c>
      <c r="D46" s="18">
        <f t="shared" si="29"/>
        <v>0.41502659574468087</v>
      </c>
      <c r="E46" s="2">
        <v>150.4</v>
      </c>
      <c r="F46" s="290">
        <v>0</v>
      </c>
      <c r="G46" s="67">
        <f t="shared" si="10"/>
        <v>329.94300480540431</v>
      </c>
      <c r="H46" s="67">
        <f t="shared" si="22"/>
        <v>1.9004717076791287</v>
      </c>
      <c r="I46" s="37">
        <v>339.48</v>
      </c>
      <c r="J46" s="67">
        <f t="shared" si="19"/>
        <v>1.9554047999999999</v>
      </c>
      <c r="K46" s="2">
        <v>0.06</v>
      </c>
      <c r="L46" s="2">
        <v>0.7</v>
      </c>
      <c r="M46" s="67">
        <f t="shared" si="24"/>
        <v>4.1442480810512272</v>
      </c>
      <c r="N46" s="67">
        <f t="shared" si="25"/>
        <v>1.3191551349968091</v>
      </c>
      <c r="O46" s="67">
        <f t="shared" si="12"/>
        <v>73.400000000000006</v>
      </c>
      <c r="P46" s="2">
        <v>0.4</v>
      </c>
      <c r="Q46" s="67">
        <f t="shared" si="13"/>
        <v>46.146154700892552</v>
      </c>
      <c r="R46" s="67">
        <f t="shared" si="18"/>
        <v>0.26580185107714105</v>
      </c>
      <c r="S46" s="67">
        <f t="shared" si="26"/>
        <v>283.79685010451175</v>
      </c>
      <c r="T46" s="67">
        <f t="shared" si="27"/>
        <v>88.686515657659911</v>
      </c>
      <c r="U46" s="37">
        <v>50.83</v>
      </c>
      <c r="V46" s="67">
        <f t="shared" si="20"/>
        <v>0.29278080000000001</v>
      </c>
      <c r="W46" s="67">
        <f t="shared" si="28"/>
        <v>288.65000000000003</v>
      </c>
      <c r="X46" s="67">
        <f t="shared" si="21"/>
        <v>90.203125</v>
      </c>
    </row>
    <row r="47" spans="1:24" ht="19">
      <c r="A47" s="3">
        <v>78</v>
      </c>
      <c r="B47" s="2">
        <v>7.54</v>
      </c>
      <c r="C47" s="67">
        <f t="shared" si="23"/>
        <v>2.4000565418257818</v>
      </c>
      <c r="D47" s="18">
        <f t="shared" si="29"/>
        <v>0.41479591836734697</v>
      </c>
      <c r="E47" s="8">
        <v>147</v>
      </c>
      <c r="F47" s="290">
        <v>0</v>
      </c>
      <c r="G47" s="67">
        <f t="shared" si="10"/>
        <v>317.23600861689954</v>
      </c>
      <c r="H47" s="67">
        <f t="shared" si="22"/>
        <v>1.8272794096333411</v>
      </c>
      <c r="I47" s="37">
        <v>326.54000000000002</v>
      </c>
      <c r="J47" s="67">
        <f t="shared" si="19"/>
        <v>1.8808704000000003</v>
      </c>
      <c r="K47" s="2">
        <v>0.06</v>
      </c>
      <c r="L47" s="2">
        <v>0.7</v>
      </c>
      <c r="M47" s="67">
        <f t="shared" si="24"/>
        <v>4.0842480810512276</v>
      </c>
      <c r="N47" s="67">
        <f t="shared" si="25"/>
        <v>1.3000565418257817</v>
      </c>
      <c r="O47" s="67">
        <f t="shared" si="12"/>
        <v>70</v>
      </c>
      <c r="P47" s="2">
        <v>0.4</v>
      </c>
      <c r="Q47" s="67">
        <f t="shared" si="13"/>
        <v>42.743515161490848</v>
      </c>
      <c r="R47" s="67">
        <f t="shared" si="18"/>
        <v>0.24620264733018726</v>
      </c>
      <c r="S47" s="67">
        <f t="shared" si="26"/>
        <v>274.49249345540869</v>
      </c>
      <c r="T47" s="67">
        <f t="shared" si="27"/>
        <v>85.778904204815206</v>
      </c>
      <c r="U47" s="37">
        <v>47.14</v>
      </c>
      <c r="V47" s="67">
        <f t="shared" si="20"/>
        <v>0.2715264</v>
      </c>
      <c r="W47" s="67">
        <f t="shared" si="28"/>
        <v>279.40000000000003</v>
      </c>
      <c r="X47" s="67">
        <f t="shared" si="21"/>
        <v>87.3125</v>
      </c>
    </row>
    <row r="48" spans="1:24" ht="19">
      <c r="A48" s="3" t="s">
        <v>2</v>
      </c>
      <c r="B48" s="2">
        <v>7.4</v>
      </c>
      <c r="C48" s="67">
        <f t="shared" si="23"/>
        <v>2.3554931577600513</v>
      </c>
      <c r="D48" s="18">
        <f t="shared" si="29"/>
        <v>0.41510554089709761</v>
      </c>
      <c r="E48" s="2">
        <v>151.6</v>
      </c>
      <c r="F48" s="290">
        <v>0</v>
      </c>
      <c r="G48" s="67">
        <f t="shared" si="10"/>
        <v>315.3618448489546</v>
      </c>
      <c r="H48" s="67">
        <f t="shared" si="22"/>
        <v>1.8164842263299783</v>
      </c>
      <c r="I48" s="37">
        <v>325.42</v>
      </c>
      <c r="J48" s="67">
        <f t="shared" si="19"/>
        <v>1.8744191999999997</v>
      </c>
      <c r="K48" s="2">
        <v>0.06</v>
      </c>
      <c r="L48" s="2">
        <v>0.7</v>
      </c>
      <c r="M48" s="67">
        <f t="shared" si="24"/>
        <v>3.9442480810512279</v>
      </c>
      <c r="N48" s="67">
        <f t="shared" si="25"/>
        <v>1.2554931577600512</v>
      </c>
      <c r="O48" s="67">
        <f t="shared" si="12"/>
        <v>74.599999999999994</v>
      </c>
      <c r="P48" s="2">
        <v>0.4</v>
      </c>
      <c r="Q48" s="67">
        <f t="shared" si="13"/>
        <v>42.483006207061408</v>
      </c>
      <c r="R48" s="67">
        <f t="shared" si="18"/>
        <v>0.2447021157526737</v>
      </c>
      <c r="S48" s="67">
        <f t="shared" si="26"/>
        <v>272.8788386418932</v>
      </c>
      <c r="T48" s="67">
        <f t="shared" si="27"/>
        <v>85.274637075591613</v>
      </c>
      <c r="U48" s="37">
        <v>47.07</v>
      </c>
      <c r="V48" s="67">
        <f t="shared" si="20"/>
        <v>0.27112320000000001</v>
      </c>
      <c r="W48" s="67">
        <f t="shared" si="28"/>
        <v>278.35000000000002</v>
      </c>
      <c r="X48" s="67">
        <f t="shared" si="21"/>
        <v>86.984375</v>
      </c>
    </row>
    <row r="49" spans="1:29" ht="19">
      <c r="A49" s="3">
        <v>28</v>
      </c>
      <c r="B49" s="2">
        <v>7.4</v>
      </c>
      <c r="C49" s="67">
        <f t="shared" si="23"/>
        <v>2.3554931577600513</v>
      </c>
      <c r="D49" s="18">
        <f t="shared" si="29"/>
        <v>0.41502659574468087</v>
      </c>
      <c r="E49" s="2">
        <v>150.4</v>
      </c>
      <c r="F49" s="290">
        <v>0</v>
      </c>
      <c r="G49" s="67">
        <f t="shared" si="10"/>
        <v>312.80607588545604</v>
      </c>
      <c r="H49" s="67">
        <f t="shared" si="22"/>
        <v>1.8017629971002269</v>
      </c>
      <c r="I49" s="37">
        <v>322.89999999999998</v>
      </c>
      <c r="J49" s="67">
        <f t="shared" si="19"/>
        <v>1.8599039999999998</v>
      </c>
      <c r="K49" s="2">
        <v>0.06</v>
      </c>
      <c r="L49" s="2">
        <v>0.7</v>
      </c>
      <c r="M49" s="67">
        <f t="shared" si="24"/>
        <v>3.9442480810512279</v>
      </c>
      <c r="N49" s="67">
        <f t="shared" si="25"/>
        <v>1.2554931577600512</v>
      </c>
      <c r="O49" s="67">
        <f t="shared" si="12"/>
        <v>73.400000000000006</v>
      </c>
      <c r="P49" s="2">
        <v>0.4</v>
      </c>
      <c r="Q49" s="67">
        <f t="shared" si="13"/>
        <v>41.79963345306043</v>
      </c>
      <c r="R49" s="67">
        <f t="shared" si="18"/>
        <v>0.24076588868962803</v>
      </c>
      <c r="S49" s="67">
        <f t="shared" si="26"/>
        <v>271.0064424323956</v>
      </c>
      <c r="T49" s="67">
        <f t="shared" si="27"/>
        <v>84.689513260123618</v>
      </c>
      <c r="U49" s="37">
        <v>46.35</v>
      </c>
      <c r="V49" s="67">
        <f t="shared" si="20"/>
        <v>0.26697599999999999</v>
      </c>
      <c r="W49" s="67">
        <f t="shared" si="28"/>
        <v>276.54999999999995</v>
      </c>
      <c r="X49" s="67">
        <f t="shared" si="21"/>
        <v>86.421874999999986</v>
      </c>
    </row>
    <row r="50" spans="1:29" ht="19">
      <c r="A50" s="3">
        <v>39</v>
      </c>
      <c r="B50" s="2">
        <v>7.4475068000000002</v>
      </c>
      <c r="C50" s="67">
        <f t="shared" si="23"/>
        <v>2.370615041861007</v>
      </c>
      <c r="D50" s="18">
        <f t="shared" si="29"/>
        <v>0.41479591836734697</v>
      </c>
      <c r="E50" s="8">
        <v>147</v>
      </c>
      <c r="F50" s="290">
        <v>0</v>
      </c>
      <c r="G50" s="67">
        <f t="shared" si="10"/>
        <v>309.50067616820951</v>
      </c>
      <c r="H50" s="67">
        <f t="shared" si="22"/>
        <v>1.7827238947288866</v>
      </c>
      <c r="I50" s="37">
        <v>318.45</v>
      </c>
      <c r="J50" s="67">
        <f t="shared" si="19"/>
        <v>1.8342719999999997</v>
      </c>
      <c r="K50" s="2">
        <v>0.06</v>
      </c>
      <c r="L50" s="2">
        <v>0.7</v>
      </c>
      <c r="M50" s="67">
        <f t="shared" si="24"/>
        <v>3.9917548810512269</v>
      </c>
      <c r="N50" s="67">
        <f t="shared" si="25"/>
        <v>1.2706150418610069</v>
      </c>
      <c r="O50" s="67">
        <f t="shared" si="12"/>
        <v>70</v>
      </c>
      <c r="P50" s="2">
        <v>0.4</v>
      </c>
      <c r="Q50" s="67">
        <f t="shared" si="13"/>
        <v>40.829469552050554</v>
      </c>
      <c r="R50" s="67">
        <f t="shared" si="18"/>
        <v>0.2351777446198112</v>
      </c>
      <c r="S50" s="67">
        <f t="shared" si="26"/>
        <v>268.67120661615894</v>
      </c>
      <c r="T50" s="67">
        <f t="shared" si="27"/>
        <v>83.959752067549658</v>
      </c>
      <c r="U50" s="37">
        <v>45.01</v>
      </c>
      <c r="V50" s="67">
        <f t="shared" si="20"/>
        <v>0.25925759999999998</v>
      </c>
      <c r="W50" s="67">
        <f t="shared" si="28"/>
        <v>273.44</v>
      </c>
      <c r="X50" s="67">
        <f t="shared" si="21"/>
        <v>85.449999999999989</v>
      </c>
      <c r="AB50" s="32" t="s">
        <v>13</v>
      </c>
      <c r="AC50" s="33"/>
    </row>
    <row r="51" spans="1:29" ht="19">
      <c r="A51" s="1">
        <v>113</v>
      </c>
      <c r="B51" s="2">
        <f>2.27*3.28084</f>
        <v>7.4475068000000002</v>
      </c>
      <c r="C51" s="67">
        <f t="shared" si="23"/>
        <v>2.370615041861007</v>
      </c>
      <c r="D51" s="18">
        <f t="shared" si="29"/>
        <v>0.41479591836734697</v>
      </c>
      <c r="E51" s="8">
        <v>147</v>
      </c>
      <c r="F51" s="290">
        <v>0</v>
      </c>
      <c r="G51" s="67">
        <f t="shared" si="10"/>
        <v>309.50067616820951</v>
      </c>
      <c r="H51" s="67">
        <f t="shared" si="22"/>
        <v>1.7827238947288866</v>
      </c>
      <c r="I51" s="37">
        <v>318.45</v>
      </c>
      <c r="J51" s="67">
        <f t="shared" si="19"/>
        <v>1.8342719999999997</v>
      </c>
      <c r="K51" s="2">
        <v>0.06</v>
      </c>
      <c r="L51" s="2">
        <v>0.7</v>
      </c>
      <c r="M51" s="67">
        <f t="shared" si="24"/>
        <v>3.9917548810512269</v>
      </c>
      <c r="N51" s="67">
        <f t="shared" si="25"/>
        <v>1.2706150418610069</v>
      </c>
      <c r="O51" s="67">
        <f t="shared" si="12"/>
        <v>70</v>
      </c>
      <c r="P51" s="2">
        <v>0.4</v>
      </c>
      <c r="Q51" s="67">
        <f t="shared" si="13"/>
        <v>40.829469552050554</v>
      </c>
      <c r="R51" s="67">
        <f t="shared" si="18"/>
        <v>0.2351777446198112</v>
      </c>
      <c r="S51" s="67">
        <f t="shared" si="26"/>
        <v>268.67120661615894</v>
      </c>
      <c r="T51" s="67">
        <f t="shared" si="27"/>
        <v>83.959752067549658</v>
      </c>
      <c r="U51" s="37">
        <v>45.01</v>
      </c>
      <c r="V51" s="67">
        <f t="shared" si="20"/>
        <v>0.25925759999999998</v>
      </c>
      <c r="W51" s="67">
        <f t="shared" si="28"/>
        <v>273.44</v>
      </c>
      <c r="X51" s="67">
        <f t="shared" si="21"/>
        <v>85.449999999999989</v>
      </c>
      <c r="AB51" s="34" t="s">
        <v>14</v>
      </c>
      <c r="AC51" s="35"/>
    </row>
    <row r="52" spans="1:29" ht="19">
      <c r="A52" s="3">
        <v>80</v>
      </c>
      <c r="B52" s="2">
        <v>7.41</v>
      </c>
      <c r="C52" s="67">
        <f t="shared" si="23"/>
        <v>2.3586762566218891</v>
      </c>
      <c r="D52" s="18">
        <f t="shared" si="29"/>
        <v>0.41479591836734697</v>
      </c>
      <c r="E52" s="8">
        <v>147</v>
      </c>
      <c r="F52" s="290">
        <v>0</v>
      </c>
      <c r="G52" s="67">
        <f t="shared" si="10"/>
        <v>306.39113911899727</v>
      </c>
      <c r="H52" s="67">
        <f t="shared" si="22"/>
        <v>1.7648129613254244</v>
      </c>
      <c r="I52" s="37">
        <v>315.77999999999997</v>
      </c>
      <c r="J52" s="67">
        <f t="shared" si="19"/>
        <v>1.8188927999999998</v>
      </c>
      <c r="K52" s="2">
        <v>0.06</v>
      </c>
      <c r="L52" s="2">
        <v>0.7</v>
      </c>
      <c r="M52" s="67">
        <f t="shared" si="24"/>
        <v>3.9542480810512277</v>
      </c>
      <c r="N52" s="67">
        <f t="shared" si="25"/>
        <v>1.258676256621889</v>
      </c>
      <c r="O52" s="67">
        <f t="shared" si="12"/>
        <v>70</v>
      </c>
      <c r="P52" s="2">
        <v>0.4</v>
      </c>
      <c r="Q52" s="67">
        <f t="shared" si="13"/>
        <v>40.065801287915377</v>
      </c>
      <c r="R52" s="67">
        <f t="shared" si="18"/>
        <v>0.23077901541839257</v>
      </c>
      <c r="S52" s="67">
        <f t="shared" si="26"/>
        <v>266.32533783108192</v>
      </c>
      <c r="T52" s="67">
        <f t="shared" si="27"/>
        <v>83.226668072213101</v>
      </c>
      <c r="U52" s="37">
        <v>44.31</v>
      </c>
      <c r="V52" s="67">
        <f t="shared" si="20"/>
        <v>0.2552256</v>
      </c>
      <c r="W52" s="67">
        <f t="shared" si="28"/>
        <v>271.46999999999997</v>
      </c>
      <c r="X52" s="67">
        <f t="shared" si="21"/>
        <v>84.83437499999998</v>
      </c>
    </row>
    <row r="53" spans="1:29" ht="19">
      <c r="A53" s="1">
        <v>90</v>
      </c>
      <c r="B53" s="2">
        <f>2.24*3.28084</f>
        <v>7.3490816000000008</v>
      </c>
      <c r="C53" s="67">
        <f t="shared" si="23"/>
        <v>2.3392853276513907</v>
      </c>
      <c r="D53" s="18">
        <f t="shared" si="29"/>
        <v>0.41479591836734697</v>
      </c>
      <c r="E53" s="8">
        <v>147</v>
      </c>
      <c r="F53" s="290">
        <v>0</v>
      </c>
      <c r="G53" s="67">
        <f t="shared" si="10"/>
        <v>301.37409861274398</v>
      </c>
      <c r="H53" s="67">
        <f t="shared" si="22"/>
        <v>1.7359148080094053</v>
      </c>
      <c r="I53" s="37">
        <v>310.45999999999998</v>
      </c>
      <c r="J53" s="67">
        <f>I53*$N$1*$P$1/2000</f>
        <v>1.7882495999999997</v>
      </c>
      <c r="K53" s="2">
        <v>0.06</v>
      </c>
      <c r="L53" s="2">
        <v>0.7</v>
      </c>
      <c r="M53" s="67">
        <f t="shared" si="24"/>
        <v>3.8933296810512288</v>
      </c>
      <c r="N53" s="67">
        <f t="shared" si="25"/>
        <v>1.2392853276513907</v>
      </c>
      <c r="O53" s="67">
        <f t="shared" si="12"/>
        <v>70</v>
      </c>
      <c r="P53" s="2">
        <v>0.4</v>
      </c>
      <c r="Q53" s="67">
        <f t="shared" si="13"/>
        <v>38.840818112963476</v>
      </c>
      <c r="R53" s="67">
        <f>Q53*$N$1*$P$1/2000</f>
        <v>0.2237231123306696</v>
      </c>
      <c r="S53" s="67">
        <f t="shared" si="26"/>
        <v>262.53328049978052</v>
      </c>
      <c r="T53" s="67">
        <f t="shared" si="27"/>
        <v>82.041650156181404</v>
      </c>
      <c r="U53" s="37">
        <v>42.92</v>
      </c>
      <c r="V53" s="67">
        <f t="shared" si="20"/>
        <v>0.24721919999999997</v>
      </c>
      <c r="W53" s="67">
        <f t="shared" si="28"/>
        <v>267.53999999999996</v>
      </c>
      <c r="X53" s="67">
        <f t="shared" si="21"/>
        <v>83.606249999999989</v>
      </c>
    </row>
    <row r="54" spans="1:29" ht="19">
      <c r="A54" s="5">
        <v>62</v>
      </c>
      <c r="B54" s="10">
        <v>7.28</v>
      </c>
      <c r="C54" s="67">
        <f t="shared" si="23"/>
        <v>2.3172959714179964</v>
      </c>
      <c r="D54" s="18">
        <f t="shared" si="29"/>
        <v>0.41479591836734697</v>
      </c>
      <c r="E54" s="8">
        <v>147</v>
      </c>
      <c r="F54" s="290">
        <v>0</v>
      </c>
      <c r="G54" s="67">
        <f t="shared" si="10"/>
        <v>295.73487604714541</v>
      </c>
      <c r="H54" s="67">
        <f t="shared" si="22"/>
        <v>1.7034328860315575</v>
      </c>
      <c r="I54" s="37">
        <v>305.19</v>
      </c>
      <c r="J54" s="67">
        <f t="shared" ref="J54:J79" si="30">I54*$N$1*$P$1/2000</f>
        <v>1.7578943999999999</v>
      </c>
      <c r="K54" s="2">
        <v>0.06</v>
      </c>
      <c r="L54" s="2">
        <v>0.7</v>
      </c>
      <c r="M54" s="67">
        <f t="shared" si="24"/>
        <v>3.8242480810512278</v>
      </c>
      <c r="N54" s="67">
        <f t="shared" si="25"/>
        <v>1.2172959714179963</v>
      </c>
      <c r="O54" s="67">
        <f t="shared" si="12"/>
        <v>70</v>
      </c>
      <c r="P54" s="2">
        <v>0.4</v>
      </c>
      <c r="Q54" s="67">
        <f t="shared" si="13"/>
        <v>37.474696351271632</v>
      </c>
      <c r="R54" s="67">
        <f t="shared" ref="R54:R79" si="31">Q54*$N$1*$P$1/2000</f>
        <v>0.21585425098332459</v>
      </c>
      <c r="S54" s="67">
        <f t="shared" si="26"/>
        <v>258.26017969587377</v>
      </c>
      <c r="T54" s="67">
        <f t="shared" si="27"/>
        <v>80.706306154960544</v>
      </c>
      <c r="U54" s="37">
        <v>41.56</v>
      </c>
      <c r="V54" s="67">
        <f t="shared" si="20"/>
        <v>0.2393856</v>
      </c>
      <c r="W54" s="67">
        <f t="shared" si="28"/>
        <v>263.63</v>
      </c>
      <c r="X54" s="67">
        <f t="shared" si="21"/>
        <v>82.384374999999991</v>
      </c>
    </row>
    <row r="55" spans="1:29" ht="19">
      <c r="A55" s="3">
        <v>39</v>
      </c>
      <c r="B55" s="2">
        <v>7.4</v>
      </c>
      <c r="C55" s="67">
        <f t="shared" si="23"/>
        <v>2.3554931577600513</v>
      </c>
      <c r="D55" s="18">
        <f t="shared" si="29"/>
        <v>0.41413043478260869</v>
      </c>
      <c r="E55" s="2">
        <v>138</v>
      </c>
      <c r="F55" s="290">
        <v>0</v>
      </c>
      <c r="G55" s="67">
        <f t="shared" si="10"/>
        <v>286.39646326263721</v>
      </c>
      <c r="H55" s="67">
        <f t="shared" si="22"/>
        <v>1.6496436283927904</v>
      </c>
      <c r="I55" s="37">
        <v>296.91000000000003</v>
      </c>
      <c r="J55" s="67">
        <f t="shared" si="30"/>
        <v>1.7102015999999998</v>
      </c>
      <c r="K55" s="2">
        <v>0.06</v>
      </c>
      <c r="L55" s="2">
        <v>0.7</v>
      </c>
      <c r="M55" s="67">
        <f t="shared" si="24"/>
        <v>3.9442480810512279</v>
      </c>
      <c r="N55" s="67">
        <f t="shared" si="25"/>
        <v>1.2554931577600512</v>
      </c>
      <c r="O55" s="67">
        <f t="shared" si="12"/>
        <v>61</v>
      </c>
      <c r="P55" s="2">
        <v>0.4</v>
      </c>
      <c r="Q55" s="67">
        <f t="shared" si="13"/>
        <v>34.738114995050218</v>
      </c>
      <c r="R55" s="67">
        <f t="shared" si="31"/>
        <v>0.20009154237148927</v>
      </c>
      <c r="S55" s="67">
        <f t="shared" si="26"/>
        <v>251.658348267587</v>
      </c>
      <c r="T55" s="67">
        <f t="shared" si="27"/>
        <v>78.64323383362094</v>
      </c>
      <c r="U55" s="37">
        <v>38.89</v>
      </c>
      <c r="V55" s="67">
        <f t="shared" si="20"/>
        <v>0.22400639999999999</v>
      </c>
      <c r="W55" s="67">
        <f t="shared" si="28"/>
        <v>258.02000000000004</v>
      </c>
      <c r="X55" s="67">
        <f t="shared" si="21"/>
        <v>80.631250000000009</v>
      </c>
    </row>
    <row r="56" spans="1:29" ht="19">
      <c r="A56" s="5">
        <v>40</v>
      </c>
      <c r="B56" s="10">
        <v>7.0866144000000002</v>
      </c>
      <c r="C56" s="67">
        <f t="shared" si="23"/>
        <v>2.2557394230924124</v>
      </c>
      <c r="D56" s="18">
        <f t="shared" si="29"/>
        <v>0.4148717083051992</v>
      </c>
      <c r="E56" s="2">
        <v>148.1</v>
      </c>
      <c r="F56" s="290">
        <v>0</v>
      </c>
      <c r="G56" s="67">
        <f t="shared" si="10"/>
        <v>282.38034158729852</v>
      </c>
      <c r="H56" s="67">
        <f t="shared" si="22"/>
        <v>1.6265107675428394</v>
      </c>
      <c r="I56" s="37">
        <v>291.58</v>
      </c>
      <c r="J56" s="67">
        <f t="shared" si="30"/>
        <v>1.6795008</v>
      </c>
      <c r="K56" s="2">
        <v>0.06</v>
      </c>
      <c r="L56" s="2">
        <v>0.7</v>
      </c>
      <c r="M56" s="67">
        <f t="shared" si="24"/>
        <v>3.6308624810512282</v>
      </c>
      <c r="N56" s="67">
        <f t="shared" si="25"/>
        <v>1.1557394230924123</v>
      </c>
      <c r="O56" s="67">
        <f t="shared" si="12"/>
        <v>71.099999999999994</v>
      </c>
      <c r="P56" s="2">
        <v>0.4</v>
      </c>
      <c r="Q56" s="67">
        <f t="shared" si="13"/>
        <v>34.311299678894173</v>
      </c>
      <c r="R56" s="67">
        <f t="shared" si="31"/>
        <v>0.1976330861504304</v>
      </c>
      <c r="S56" s="67">
        <f t="shared" si="26"/>
        <v>248.06904190840436</v>
      </c>
      <c r="T56" s="67">
        <f t="shared" si="27"/>
        <v>77.521575596376351</v>
      </c>
      <c r="U56" s="37">
        <v>38.17</v>
      </c>
      <c r="V56" s="67">
        <f t="shared" si="20"/>
        <v>0.2198592</v>
      </c>
      <c r="W56" s="67">
        <f t="shared" si="28"/>
        <v>253.40999999999997</v>
      </c>
      <c r="X56" s="67">
        <f t="shared" si="21"/>
        <v>79.190624999999983</v>
      </c>
    </row>
    <row r="57" spans="1:29" ht="19">
      <c r="A57" s="1">
        <v>45</v>
      </c>
      <c r="B57" s="2">
        <f>2.12*3.2804</f>
        <v>6.9544480000000011</v>
      </c>
      <c r="C57" s="67">
        <f t="shared" si="23"/>
        <v>2.2136695513510909</v>
      </c>
      <c r="D57" s="18">
        <f t="shared" si="29"/>
        <v>0.41519607843137257</v>
      </c>
      <c r="E57" s="2">
        <v>153</v>
      </c>
      <c r="F57" s="290">
        <v>0</v>
      </c>
      <c r="G57" s="67">
        <f t="shared" si="10"/>
        <v>281.16287685296771</v>
      </c>
      <c r="H57" s="67">
        <f t="shared" si="22"/>
        <v>1.6194981706730942</v>
      </c>
      <c r="I57" s="37">
        <v>288.06</v>
      </c>
      <c r="J57" s="67">
        <f t="shared" si="30"/>
        <v>1.6592256000000001</v>
      </c>
      <c r="K57" s="2">
        <v>0.04</v>
      </c>
      <c r="L57" s="2">
        <v>0.7</v>
      </c>
      <c r="M57" s="67">
        <f t="shared" si="24"/>
        <v>4.6506133873674855</v>
      </c>
      <c r="N57" s="67">
        <f t="shared" si="25"/>
        <v>1.4803362180177575</v>
      </c>
      <c r="O57" s="67">
        <f t="shared" si="12"/>
        <v>76</v>
      </c>
      <c r="P57" s="2">
        <v>0.4</v>
      </c>
      <c r="Q57" s="67">
        <f t="shared" si="13"/>
        <v>60.170280327202256</v>
      </c>
      <c r="R57" s="67">
        <f t="shared" si="31"/>
        <v>0.34658081468468499</v>
      </c>
      <c r="S57" s="67">
        <f t="shared" si="26"/>
        <v>220.99259652576546</v>
      </c>
      <c r="T57" s="67">
        <f t="shared" si="27"/>
        <v>69.060186414301697</v>
      </c>
      <c r="U57" s="37">
        <v>65.95</v>
      </c>
      <c r="V57" s="67">
        <f t="shared" si="20"/>
        <v>0.37987199999999999</v>
      </c>
      <c r="W57" s="67">
        <f t="shared" si="28"/>
        <v>222.11</v>
      </c>
      <c r="X57" s="67">
        <f t="shared" si="21"/>
        <v>69.409374999999997</v>
      </c>
    </row>
    <row r="58" spans="1:29" ht="19">
      <c r="A58" s="3">
        <v>76</v>
      </c>
      <c r="B58" s="2">
        <v>6.98</v>
      </c>
      <c r="C58" s="67">
        <f t="shared" si="23"/>
        <v>2.221803005562859</v>
      </c>
      <c r="D58" s="18">
        <f t="shared" si="29"/>
        <v>0.41465517241379313</v>
      </c>
      <c r="E58" s="8">
        <v>145</v>
      </c>
      <c r="F58" s="290">
        <v>0</v>
      </c>
      <c r="G58" s="67">
        <f t="shared" si="10"/>
        <v>268.07351628247267</v>
      </c>
      <c r="H58" s="67">
        <f t="shared" si="22"/>
        <v>1.5441034537870426</v>
      </c>
      <c r="I58" s="37">
        <v>275.82</v>
      </c>
      <c r="J58" s="67">
        <f t="shared" si="30"/>
        <v>1.5887232</v>
      </c>
      <c r="K58" s="2">
        <v>0.04</v>
      </c>
      <c r="L58" s="2">
        <v>0.7</v>
      </c>
      <c r="M58" s="67">
        <f t="shared" si="24"/>
        <v>4.6761653873674849</v>
      </c>
      <c r="N58" s="67">
        <f t="shared" si="25"/>
        <v>1.4884696722295256</v>
      </c>
      <c r="O58" s="67">
        <f t="shared" si="12"/>
        <v>68</v>
      </c>
      <c r="P58" s="2">
        <v>0.4</v>
      </c>
      <c r="Q58" s="67">
        <f t="shared" si="13"/>
        <v>54.429783426350795</v>
      </c>
      <c r="R58" s="67">
        <f t="shared" si="31"/>
        <v>0.31351555253578056</v>
      </c>
      <c r="S58" s="67">
        <f t="shared" si="26"/>
        <v>213.64373285612186</v>
      </c>
      <c r="T58" s="67">
        <f t="shared" si="27"/>
        <v>66.76366651753807</v>
      </c>
      <c r="U58" s="37">
        <v>60.12</v>
      </c>
      <c r="V58" s="67">
        <f t="shared" si="20"/>
        <v>0.34629119999999997</v>
      </c>
      <c r="W58" s="67">
        <f t="shared" si="28"/>
        <v>215.7</v>
      </c>
      <c r="X58" s="67">
        <f t="shared" si="21"/>
        <v>67.406249999999986</v>
      </c>
    </row>
    <row r="59" spans="1:29" ht="19">
      <c r="A59" s="1">
        <v>108</v>
      </c>
      <c r="B59" s="2">
        <f>2.09*3.28094</f>
        <v>6.8571645999999999</v>
      </c>
      <c r="C59" s="67">
        <f t="shared" si="23"/>
        <v>2.1827032833695186</v>
      </c>
      <c r="D59" s="18">
        <f t="shared" si="29"/>
        <v>0.41465517241379313</v>
      </c>
      <c r="E59" s="8">
        <v>145</v>
      </c>
      <c r="F59" s="290">
        <v>0</v>
      </c>
      <c r="G59" s="67">
        <f t="shared" si="10"/>
        <v>258.72131775868769</v>
      </c>
      <c r="H59" s="67">
        <f t="shared" si="22"/>
        <v>1.490234790290041</v>
      </c>
      <c r="I59" s="37">
        <v>266</v>
      </c>
      <c r="J59" s="67">
        <f t="shared" si="30"/>
        <v>1.5321599999999997</v>
      </c>
      <c r="K59" s="2">
        <v>0.04</v>
      </c>
      <c r="L59" s="2">
        <v>0.7</v>
      </c>
      <c r="M59" s="67">
        <f t="shared" si="24"/>
        <v>4.5533299873674853</v>
      </c>
      <c r="N59" s="67">
        <f t="shared" si="25"/>
        <v>1.4493699500361852</v>
      </c>
      <c r="O59" s="67">
        <f t="shared" si="12"/>
        <v>68</v>
      </c>
      <c r="P59" s="2">
        <v>0.4</v>
      </c>
      <c r="Q59" s="67">
        <f t="shared" si="13"/>
        <v>51.607774512180569</v>
      </c>
      <c r="R59" s="67">
        <f t="shared" si="31"/>
        <v>0.29726078119016008</v>
      </c>
      <c r="S59" s="67">
        <f t="shared" si="26"/>
        <v>207.11354324650711</v>
      </c>
      <c r="T59" s="67">
        <f t="shared" si="27"/>
        <v>64.722982264533471</v>
      </c>
      <c r="U59" s="37">
        <v>56.96</v>
      </c>
      <c r="V59" s="67">
        <f t="shared" si="20"/>
        <v>0.32808959999999998</v>
      </c>
      <c r="W59" s="67">
        <f t="shared" si="28"/>
        <v>209.04</v>
      </c>
      <c r="X59" s="67">
        <f t="shared" si="21"/>
        <v>65.324999999999989</v>
      </c>
    </row>
    <row r="60" spans="1:29" ht="19">
      <c r="A60" s="3" t="s">
        <v>2</v>
      </c>
      <c r="B60" s="2">
        <v>6.68</v>
      </c>
      <c r="C60" s="67">
        <f t="shared" si="23"/>
        <v>2.1263100397077217</v>
      </c>
      <c r="D60" s="18">
        <f t="shared" si="29"/>
        <v>0.41506622516556291</v>
      </c>
      <c r="E60" s="2">
        <v>151</v>
      </c>
      <c r="F60" s="290">
        <v>0</v>
      </c>
      <c r="G60" s="67">
        <f t="shared" si="10"/>
        <v>255.93827817913771</v>
      </c>
      <c r="H60" s="67">
        <f t="shared" si="22"/>
        <v>1.4742044823118332</v>
      </c>
      <c r="I60" s="37">
        <v>264.23</v>
      </c>
      <c r="J60" s="67">
        <f t="shared" si="30"/>
        <v>1.5219647999999999</v>
      </c>
      <c r="K60" s="2">
        <v>0.04</v>
      </c>
      <c r="L60" s="2">
        <v>0.7</v>
      </c>
      <c r="M60" s="67">
        <f t="shared" si="24"/>
        <v>4.3761653873674851</v>
      </c>
      <c r="N60" s="67">
        <f t="shared" si="25"/>
        <v>1.3929767063743883</v>
      </c>
      <c r="O60" s="67">
        <f t="shared" si="12"/>
        <v>74</v>
      </c>
      <c r="P60" s="2">
        <v>0.4</v>
      </c>
      <c r="Q60" s="67">
        <f t="shared" si="13"/>
        <v>51.87607877115888</v>
      </c>
      <c r="R60" s="67">
        <f t="shared" si="31"/>
        <v>0.2988062137218751</v>
      </c>
      <c r="S60" s="67">
        <f t="shared" si="26"/>
        <v>204.06219940797882</v>
      </c>
      <c r="T60" s="67">
        <f t="shared" si="27"/>
        <v>63.769437314993382</v>
      </c>
      <c r="U60" s="37">
        <v>56.76</v>
      </c>
      <c r="V60" s="67">
        <f t="shared" si="20"/>
        <v>0.32693759999999999</v>
      </c>
      <c r="W60" s="67">
        <f t="shared" si="28"/>
        <v>207.47000000000003</v>
      </c>
      <c r="X60" s="67">
        <f t="shared" si="21"/>
        <v>64.834375000000009</v>
      </c>
    </row>
    <row r="61" spans="1:29" ht="17" customHeight="1">
      <c r="A61" s="4">
        <v>82</v>
      </c>
      <c r="B61" s="9">
        <v>6.47</v>
      </c>
      <c r="C61" s="223">
        <f t="shared" si="23"/>
        <v>2.0594649636091256</v>
      </c>
      <c r="D61" s="18">
        <f t="shared" si="29"/>
        <v>0.41555415617128466</v>
      </c>
      <c r="E61" s="9">
        <v>158.80000000000001</v>
      </c>
      <c r="F61" s="290">
        <v>0</v>
      </c>
      <c r="G61" s="67">
        <f t="shared" si="10"/>
        <v>252.79860089595167</v>
      </c>
      <c r="H61" s="67">
        <f t="shared" si="22"/>
        <v>1.4561199411606816</v>
      </c>
      <c r="I61" s="37">
        <v>259.68</v>
      </c>
      <c r="J61" s="67">
        <f t="shared" si="30"/>
        <v>1.4957567999999999</v>
      </c>
      <c r="K61" s="2">
        <v>0.04</v>
      </c>
      <c r="L61" s="2">
        <v>0.7</v>
      </c>
      <c r="M61" s="67">
        <f t="shared" si="24"/>
        <v>4.1661653873674842</v>
      </c>
      <c r="N61" s="67">
        <f t="shared" si="25"/>
        <v>1.3261316302757922</v>
      </c>
      <c r="O61" s="67">
        <f t="shared" si="12"/>
        <v>81.800000000000011</v>
      </c>
      <c r="P61" s="2">
        <v>0.4</v>
      </c>
      <c r="Q61" s="67">
        <f t="shared" si="13"/>
        <v>51.972580939073303</v>
      </c>
      <c r="R61" s="67">
        <f t="shared" si="31"/>
        <v>0.29936206620906219</v>
      </c>
      <c r="S61" s="67">
        <f t="shared" si="26"/>
        <v>200.82601995687835</v>
      </c>
      <c r="T61" s="67">
        <f t="shared" si="27"/>
        <v>62.758131236524484</v>
      </c>
      <c r="U61" s="37">
        <v>57.22</v>
      </c>
      <c r="V61" s="67">
        <f t="shared" si="20"/>
        <v>0.32958719999999997</v>
      </c>
      <c r="W61" s="67">
        <f t="shared" si="28"/>
        <v>202.46</v>
      </c>
      <c r="X61" s="67">
        <f t="shared" si="21"/>
        <v>63.268749999999997</v>
      </c>
    </row>
    <row r="62" spans="1:29" ht="19">
      <c r="A62" s="3">
        <v>43</v>
      </c>
      <c r="B62" s="2">
        <v>6.75</v>
      </c>
      <c r="C62" s="67">
        <f t="shared" si="23"/>
        <v>2.1485917317405869</v>
      </c>
      <c r="D62" s="18">
        <f t="shared" si="29"/>
        <v>0.41416967509025271</v>
      </c>
      <c r="E62" s="2">
        <v>138.5</v>
      </c>
      <c r="F62" s="290">
        <v>0</v>
      </c>
      <c r="G62" s="67">
        <f t="shared" si="10"/>
        <v>239.17930120197815</v>
      </c>
      <c r="H62" s="67">
        <f t="shared" si="22"/>
        <v>1.3776727749233939</v>
      </c>
      <c r="I62" s="37">
        <v>247.44</v>
      </c>
      <c r="J62" s="67">
        <f t="shared" si="30"/>
        <v>1.4252543999999998</v>
      </c>
      <c r="K62" s="2">
        <v>0.04</v>
      </c>
      <c r="L62" s="2">
        <v>0.7</v>
      </c>
      <c r="M62" s="67">
        <f t="shared" si="24"/>
        <v>4.4461653873674845</v>
      </c>
      <c r="N62" s="67">
        <f t="shared" si="25"/>
        <v>1.4152583984072535</v>
      </c>
      <c r="O62" s="67">
        <f t="shared" si="12"/>
        <v>61.5</v>
      </c>
      <c r="P62" s="2">
        <v>0.4</v>
      </c>
      <c r="Q62" s="67">
        <f t="shared" si="13"/>
        <v>44.50351462188182</v>
      </c>
      <c r="R62" s="67">
        <f t="shared" si="31"/>
        <v>0.25634024422203927</v>
      </c>
      <c r="S62" s="67">
        <f t="shared" si="26"/>
        <v>194.67578658009631</v>
      </c>
      <c r="T62" s="67">
        <f t="shared" si="27"/>
        <v>60.836183306280098</v>
      </c>
      <c r="U62" s="37">
        <v>49.68</v>
      </c>
      <c r="V62" s="67">
        <f t="shared" si="20"/>
        <v>0.28615679999999999</v>
      </c>
      <c r="W62" s="67">
        <f t="shared" si="28"/>
        <v>197.76</v>
      </c>
      <c r="X62" s="67">
        <f t="shared" si="21"/>
        <v>61.8</v>
      </c>
    </row>
    <row r="63" spans="1:29" ht="19">
      <c r="A63" s="3">
        <v>64</v>
      </c>
      <c r="B63" s="2">
        <v>6.47</v>
      </c>
      <c r="C63" s="67">
        <f t="shared" si="23"/>
        <v>2.0594649636091256</v>
      </c>
      <c r="D63" s="18">
        <f t="shared" si="29"/>
        <v>0.41465517241379313</v>
      </c>
      <c r="E63" s="8">
        <v>145</v>
      </c>
      <c r="F63" s="290">
        <v>0</v>
      </c>
      <c r="G63" s="67">
        <f t="shared" si="10"/>
        <v>230.33059370918465</v>
      </c>
      <c r="H63" s="67">
        <f t="shared" si="22"/>
        <v>1.3267042197649037</v>
      </c>
      <c r="I63" s="37">
        <v>237.62</v>
      </c>
      <c r="J63" s="67">
        <f t="shared" si="30"/>
        <v>1.3686912</v>
      </c>
      <c r="K63" s="2">
        <v>0.04</v>
      </c>
      <c r="L63" s="2">
        <v>0.7</v>
      </c>
      <c r="M63" s="67">
        <f t="shared" si="24"/>
        <v>4.1661653873674842</v>
      </c>
      <c r="N63" s="67">
        <f t="shared" si="25"/>
        <v>1.3261316302757922</v>
      </c>
      <c r="O63" s="67">
        <f t="shared" si="12"/>
        <v>68</v>
      </c>
      <c r="P63" s="2">
        <v>0.4</v>
      </c>
      <c r="Q63" s="67">
        <f t="shared" si="13"/>
        <v>43.204590511699074</v>
      </c>
      <c r="R63" s="67">
        <f t="shared" si="31"/>
        <v>0.24885844134738663</v>
      </c>
      <c r="S63" s="67">
        <f t="shared" si="26"/>
        <v>187.12600319748557</v>
      </c>
      <c r="T63" s="67">
        <f t="shared" si="27"/>
        <v>58.476875999214236</v>
      </c>
      <c r="U63" s="37">
        <v>47.98</v>
      </c>
      <c r="V63" s="67">
        <f t="shared" si="20"/>
        <v>0.27636480000000002</v>
      </c>
      <c r="W63" s="67">
        <f t="shared" si="28"/>
        <v>189.64000000000001</v>
      </c>
      <c r="X63" s="67">
        <f t="shared" si="21"/>
        <v>59.262500000000003</v>
      </c>
    </row>
    <row r="64" spans="1:29" ht="19">
      <c r="A64" s="1">
        <v>109</v>
      </c>
      <c r="B64" s="2">
        <f>1.97*3.28084</f>
        <v>6.4632547999999996</v>
      </c>
      <c r="C64" s="67">
        <f t="shared" si="23"/>
        <v>2.0573178997648389</v>
      </c>
      <c r="D64" s="18">
        <f t="shared" si="29"/>
        <v>0.41465517241379313</v>
      </c>
      <c r="E64" s="8">
        <v>145</v>
      </c>
      <c r="F64" s="290">
        <v>0</v>
      </c>
      <c r="G64" s="67">
        <f t="shared" si="10"/>
        <v>229.85058874282865</v>
      </c>
      <c r="H64" s="67">
        <f t="shared" si="22"/>
        <v>1.3239393911586927</v>
      </c>
      <c r="I64" s="37">
        <v>237.62</v>
      </c>
      <c r="J64" s="67">
        <f t="shared" si="30"/>
        <v>1.3686912</v>
      </c>
      <c r="K64" s="2">
        <v>0.04</v>
      </c>
      <c r="L64" s="2">
        <v>0.7</v>
      </c>
      <c r="M64" s="67">
        <f t="shared" si="24"/>
        <v>4.159420187367485</v>
      </c>
      <c r="N64" s="67">
        <f t="shared" si="25"/>
        <v>1.3239845664315055</v>
      </c>
      <c r="O64" s="67">
        <f t="shared" si="12"/>
        <v>68</v>
      </c>
      <c r="P64" s="2">
        <v>0.4</v>
      </c>
      <c r="Q64" s="67">
        <f t="shared" si="13"/>
        <v>43.064803603017459</v>
      </c>
      <c r="R64" s="67">
        <f t="shared" si="31"/>
        <v>0.24805326875338057</v>
      </c>
      <c r="S64" s="67">
        <f t="shared" si="26"/>
        <v>186.7857851398112</v>
      </c>
      <c r="T64" s="67">
        <f t="shared" si="27"/>
        <v>58.370557856190999</v>
      </c>
      <c r="U64" s="37">
        <v>47.27</v>
      </c>
      <c r="V64" s="67">
        <f t="shared" si="20"/>
        <v>0.2722752</v>
      </c>
      <c r="W64" s="67">
        <f t="shared" si="28"/>
        <v>190.35</v>
      </c>
      <c r="X64" s="67">
        <f t="shared" si="21"/>
        <v>59.484374999999993</v>
      </c>
    </row>
    <row r="65" spans="1:24" ht="19">
      <c r="A65" s="3">
        <v>83</v>
      </c>
      <c r="B65" s="2">
        <v>6.33</v>
      </c>
      <c r="C65" s="67">
        <f t="shared" si="23"/>
        <v>2.0149015795433951</v>
      </c>
      <c r="D65" s="18">
        <f t="shared" si="29"/>
        <v>0.41503984063745025</v>
      </c>
      <c r="E65" s="2">
        <v>150.6</v>
      </c>
      <c r="F65" s="290">
        <v>0</v>
      </c>
      <c r="G65" s="67">
        <f t="shared" si="10"/>
        <v>229.19764759953134</v>
      </c>
      <c r="H65" s="67">
        <f t="shared" si="22"/>
        <v>1.3201784501733005</v>
      </c>
      <c r="I65" s="37">
        <v>234.79</v>
      </c>
      <c r="J65" s="67">
        <f t="shared" si="30"/>
        <v>1.3523904</v>
      </c>
      <c r="K65" s="2">
        <v>0.04</v>
      </c>
      <c r="L65" s="2">
        <v>0.7</v>
      </c>
      <c r="M65" s="67">
        <f t="shared" si="24"/>
        <v>4.0261653873674854</v>
      </c>
      <c r="N65" s="67">
        <f t="shared" si="25"/>
        <v>1.2815682462100617</v>
      </c>
      <c r="O65" s="67">
        <f t="shared" si="12"/>
        <v>73.599999999999994</v>
      </c>
      <c r="P65" s="2">
        <v>0.4</v>
      </c>
      <c r="Q65" s="67">
        <f t="shared" si="13"/>
        <v>43.672595567021865</v>
      </c>
      <c r="R65" s="67">
        <f t="shared" si="31"/>
        <v>0.25155415046604596</v>
      </c>
      <c r="S65" s="67">
        <f t="shared" si="26"/>
        <v>185.52505203250948</v>
      </c>
      <c r="T65" s="67">
        <f t="shared" si="27"/>
        <v>57.976578760159207</v>
      </c>
      <c r="U65" s="37">
        <v>47.95</v>
      </c>
      <c r="V65" s="67">
        <f t="shared" si="20"/>
        <v>0.27619199999999999</v>
      </c>
      <c r="W65" s="67">
        <f t="shared" si="28"/>
        <v>186.83999999999997</v>
      </c>
      <c r="X65" s="67">
        <f t="shared" si="21"/>
        <v>58.387499999999989</v>
      </c>
    </row>
    <row r="66" spans="1:24" ht="19">
      <c r="A66" s="3" t="s">
        <v>2</v>
      </c>
      <c r="B66" s="2">
        <v>6.31</v>
      </c>
      <c r="C66" s="67">
        <f t="shared" si="23"/>
        <v>2.0085353818197191</v>
      </c>
      <c r="D66" s="18">
        <f t="shared" si="29"/>
        <v>0.41465517241379313</v>
      </c>
      <c r="E66" s="8">
        <v>145</v>
      </c>
      <c r="F66" s="290">
        <v>0</v>
      </c>
      <c r="G66" s="67">
        <f t="shared" si="10"/>
        <v>219.07952175381482</v>
      </c>
      <c r="H66" s="67">
        <f t="shared" si="22"/>
        <v>1.2618980453019732</v>
      </c>
      <c r="I66" s="37">
        <v>226.27</v>
      </c>
      <c r="J66" s="67">
        <f t="shared" si="30"/>
        <v>1.3033151999999999</v>
      </c>
      <c r="K66" s="2">
        <v>0.04</v>
      </c>
      <c r="L66" s="2">
        <v>0.7</v>
      </c>
      <c r="M66" s="67">
        <f t="shared" si="24"/>
        <v>4.006165387367485</v>
      </c>
      <c r="N66" s="67">
        <f t="shared" si="25"/>
        <v>1.2752020484863857</v>
      </c>
      <c r="O66" s="67">
        <f t="shared" si="12"/>
        <v>68</v>
      </c>
      <c r="P66" s="2">
        <v>0.4</v>
      </c>
      <c r="Q66" s="67">
        <f t="shared" si="13"/>
        <v>39.949801812831836</v>
      </c>
      <c r="R66" s="67">
        <f t="shared" si="31"/>
        <v>0.23011085844191137</v>
      </c>
      <c r="S66" s="67">
        <f t="shared" si="26"/>
        <v>179.12971994098297</v>
      </c>
      <c r="T66" s="67">
        <f t="shared" si="27"/>
        <v>55.978037481557173</v>
      </c>
      <c r="U66" s="37">
        <v>44.47</v>
      </c>
      <c r="V66" s="67">
        <f t="shared" si="20"/>
        <v>0.25614720000000002</v>
      </c>
      <c r="W66" s="67">
        <f t="shared" si="28"/>
        <v>181.8</v>
      </c>
      <c r="X66" s="67">
        <f t="shared" si="21"/>
        <v>56.8125</v>
      </c>
    </row>
    <row r="67" spans="1:24" ht="19">
      <c r="A67" s="3">
        <v>88</v>
      </c>
      <c r="B67" s="2">
        <v>6.08</v>
      </c>
      <c r="C67" s="67">
        <f t="shared" si="23"/>
        <v>1.9353241079974475</v>
      </c>
      <c r="D67" s="18">
        <f t="shared" si="29"/>
        <v>0.41465517241379313</v>
      </c>
      <c r="E67" s="8">
        <v>145</v>
      </c>
      <c r="F67" s="290">
        <v>0</v>
      </c>
      <c r="G67" s="67">
        <f t="shared" si="10"/>
        <v>203.39966076436971</v>
      </c>
      <c r="H67" s="67">
        <f t="shared" si="22"/>
        <v>1.1715820460027695</v>
      </c>
      <c r="I67" s="37">
        <v>210.85</v>
      </c>
      <c r="J67" s="67">
        <f t="shared" si="30"/>
        <v>1.2144959999999998</v>
      </c>
      <c r="K67" s="2">
        <v>0.04</v>
      </c>
      <c r="L67" s="2">
        <v>0.7</v>
      </c>
      <c r="M67" s="67">
        <f t="shared" si="24"/>
        <v>3.7761653873674854</v>
      </c>
      <c r="N67" s="67">
        <f t="shared" si="25"/>
        <v>1.2019907746641141</v>
      </c>
      <c r="O67" s="67">
        <f t="shared" si="12"/>
        <v>68</v>
      </c>
      <c r="P67" s="2">
        <v>0.4</v>
      </c>
      <c r="Q67" s="67">
        <f t="shared" si="13"/>
        <v>35.494322801113363</v>
      </c>
      <c r="R67" s="67">
        <f t="shared" si="31"/>
        <v>0.20444729933441297</v>
      </c>
      <c r="S67" s="67">
        <f t="shared" si="26"/>
        <v>167.90533796325636</v>
      </c>
      <c r="T67" s="67">
        <f t="shared" si="27"/>
        <v>52.47041811351761</v>
      </c>
      <c r="U67" s="37">
        <v>39.130000000000003</v>
      </c>
      <c r="V67" s="67">
        <f t="shared" si="20"/>
        <v>0.22538880000000003</v>
      </c>
      <c r="W67" s="67">
        <f t="shared" si="28"/>
        <v>171.72</v>
      </c>
      <c r="X67" s="67">
        <f t="shared" si="21"/>
        <v>53.662499999999994</v>
      </c>
    </row>
    <row r="68" spans="1:24" ht="19">
      <c r="A68" s="3">
        <v>61</v>
      </c>
      <c r="B68" s="2">
        <v>5.88</v>
      </c>
      <c r="C68" s="67">
        <f t="shared" ref="C68:C79" si="32">B68/PI()</f>
        <v>1.8716621307606891</v>
      </c>
      <c r="D68" s="18">
        <f t="shared" si="29"/>
        <v>0.41428571428571431</v>
      </c>
      <c r="E68" s="8">
        <v>140</v>
      </c>
      <c r="F68" s="290">
        <v>0</v>
      </c>
      <c r="G68" s="67">
        <f t="shared" si="10"/>
        <v>183.51460025895477</v>
      </c>
      <c r="H68" s="67">
        <f t="shared" si="22"/>
        <v>1.0570440974915796</v>
      </c>
      <c r="I68" s="37">
        <v>189.38</v>
      </c>
      <c r="J68" s="67">
        <f t="shared" si="30"/>
        <v>1.0908287999999999</v>
      </c>
      <c r="K68" s="2">
        <v>0.04</v>
      </c>
      <c r="L68" s="2">
        <v>0.7</v>
      </c>
      <c r="M68" s="67">
        <f t="shared" ref="M68:M79" si="33">N68*PI()</f>
        <v>3.5761653873674843</v>
      </c>
      <c r="N68" s="67">
        <f t="shared" ref="N68:N79" si="34">C68-(K68*2)/12*110</f>
        <v>1.1383287974273557</v>
      </c>
      <c r="O68" s="67">
        <f t="shared" si="12"/>
        <v>63</v>
      </c>
      <c r="P68" s="2">
        <v>0.4</v>
      </c>
      <c r="Q68" s="67">
        <f t="shared" si="13"/>
        <v>29.493323064600361</v>
      </c>
      <c r="R68" s="67">
        <f t="shared" si="31"/>
        <v>0.16988154085209808</v>
      </c>
      <c r="S68" s="67">
        <f t="shared" ref="S68:S79" si="35">G68-Q68</f>
        <v>154.02127719435441</v>
      </c>
      <c r="T68" s="67">
        <f t="shared" ref="T68:T79" si="36">S68/(160/50)</f>
        <v>48.131649123235754</v>
      </c>
      <c r="U68" s="37">
        <v>32.880000000000003</v>
      </c>
      <c r="V68" s="67">
        <f t="shared" si="20"/>
        <v>0.18938880000000002</v>
      </c>
      <c r="W68" s="67">
        <f t="shared" ref="W68:W79" si="37">I68-U68</f>
        <v>156.5</v>
      </c>
      <c r="X68" s="67">
        <f t="shared" si="21"/>
        <v>48.90625</v>
      </c>
    </row>
    <row r="69" spans="1:24" ht="19">
      <c r="A69" s="1">
        <v>46</v>
      </c>
      <c r="B69" s="2">
        <f>1.63*3.28084</f>
        <v>5.3477691999999992</v>
      </c>
      <c r="C69" s="67">
        <f t="shared" si="32"/>
        <v>1.7022478053891812</v>
      </c>
      <c r="D69" s="18">
        <f t="shared" ref="D69:D79" si="38">(6/E69)*0.25+(1/3)*(0.45)+(1-(0.45)-(6/E69))*0.5</f>
        <v>0.41428571428571431</v>
      </c>
      <c r="E69" s="8">
        <v>140</v>
      </c>
      <c r="F69" s="290">
        <v>0</v>
      </c>
      <c r="G69" s="67">
        <f t="shared" ref="G69:G79" si="39">(B69^2/(4*PI()))*E69*D69*$K$1*(1-F69)</f>
        <v>151.79633331033449</v>
      </c>
      <c r="H69" s="67">
        <f t="shared" si="22"/>
        <v>0.87434687986752657</v>
      </c>
      <c r="I69" s="37">
        <v>156.66</v>
      </c>
      <c r="J69" s="67">
        <f t="shared" si="30"/>
        <v>0.90236159999999999</v>
      </c>
      <c r="K69" s="2">
        <v>0.03</v>
      </c>
      <c r="L69" s="2">
        <v>0.7</v>
      </c>
      <c r="M69" s="67">
        <f t="shared" si="33"/>
        <v>3.619893240525613</v>
      </c>
      <c r="N69" s="67">
        <f t="shared" si="34"/>
        <v>1.1522478053891811</v>
      </c>
      <c r="O69" s="67">
        <f t="shared" ref="O69:O79" si="40">E69-L69*110</f>
        <v>63</v>
      </c>
      <c r="P69" s="2">
        <v>0.4</v>
      </c>
      <c r="Q69" s="67">
        <f t="shared" ref="Q69:Q79" si="41">PI()*(N69^2/4)*O69*P69*$K$1</f>
        <v>30.218996735295381</v>
      </c>
      <c r="R69" s="67">
        <f t="shared" si="31"/>
        <v>0.17406142119530138</v>
      </c>
      <c r="S69" s="67">
        <f t="shared" si="35"/>
        <v>121.57733657503911</v>
      </c>
      <c r="T69" s="67">
        <f t="shared" si="36"/>
        <v>37.992917679699723</v>
      </c>
      <c r="U69" s="37">
        <v>33.46</v>
      </c>
      <c r="V69" s="67">
        <f t="shared" si="20"/>
        <v>0.19272959999999997</v>
      </c>
      <c r="W69" s="67">
        <f t="shared" si="37"/>
        <v>123.19999999999999</v>
      </c>
      <c r="X69" s="67">
        <f t="shared" si="21"/>
        <v>38.499999999999993</v>
      </c>
    </row>
    <row r="70" spans="1:24" ht="19">
      <c r="A70" s="3">
        <v>30</v>
      </c>
      <c r="B70" s="2">
        <v>5.3149608000000006</v>
      </c>
      <c r="C70" s="67">
        <f t="shared" si="32"/>
        <v>1.6918045673193092</v>
      </c>
      <c r="D70" s="18">
        <f t="shared" si="38"/>
        <v>0.41428571428571431</v>
      </c>
      <c r="E70" s="8">
        <v>140</v>
      </c>
      <c r="F70" s="290">
        <v>0</v>
      </c>
      <c r="G70" s="67">
        <f t="shared" si="39"/>
        <v>149.93951490068955</v>
      </c>
      <c r="H70" s="67">
        <f t="shared" si="22"/>
        <v>0.86365160582797174</v>
      </c>
      <c r="I70" s="37">
        <v>154.83000000000001</v>
      </c>
      <c r="J70" s="67">
        <f t="shared" si="30"/>
        <v>0.89182079999999997</v>
      </c>
      <c r="K70" s="2">
        <v>0.03</v>
      </c>
      <c r="L70" s="2">
        <v>0.7</v>
      </c>
      <c r="M70" s="67">
        <f t="shared" si="33"/>
        <v>3.5870848405256139</v>
      </c>
      <c r="N70" s="67">
        <f t="shared" si="34"/>
        <v>1.1418045673193091</v>
      </c>
      <c r="O70" s="67">
        <f t="shared" si="40"/>
        <v>63</v>
      </c>
      <c r="P70" s="2">
        <v>0.4</v>
      </c>
      <c r="Q70" s="67">
        <f t="shared" si="41"/>
        <v>29.673707694215139</v>
      </c>
      <c r="R70" s="67">
        <f t="shared" si="31"/>
        <v>0.1709205563186792</v>
      </c>
      <c r="S70" s="67">
        <f t="shared" si="35"/>
        <v>120.26580720647441</v>
      </c>
      <c r="T70" s="67">
        <f t="shared" si="36"/>
        <v>37.583064752023247</v>
      </c>
      <c r="U70" s="37">
        <v>32.880000000000003</v>
      </c>
      <c r="V70" s="67">
        <f t="shared" si="20"/>
        <v>0.18938880000000002</v>
      </c>
      <c r="W70" s="67">
        <f t="shared" si="37"/>
        <v>121.95000000000002</v>
      </c>
      <c r="X70" s="67">
        <f t="shared" si="21"/>
        <v>38.109375</v>
      </c>
    </row>
    <row r="71" spans="1:24" ht="19">
      <c r="A71" s="3">
        <v>67</v>
      </c>
      <c r="B71" s="2">
        <v>5.09</v>
      </c>
      <c r="C71" s="67">
        <f t="shared" si="32"/>
        <v>1.6201973206754945</v>
      </c>
      <c r="D71" s="18">
        <f t="shared" si="38"/>
        <v>0.41428571428571431</v>
      </c>
      <c r="E71" s="8">
        <v>140</v>
      </c>
      <c r="F71" s="290">
        <v>0</v>
      </c>
      <c r="G71" s="67">
        <f t="shared" si="39"/>
        <v>137.5154627403231</v>
      </c>
      <c r="H71" s="67">
        <f t="shared" si="22"/>
        <v>0.79208906538426105</v>
      </c>
      <c r="I71" s="37">
        <v>142.34</v>
      </c>
      <c r="J71" s="67">
        <f t="shared" si="30"/>
        <v>0.8198783999999999</v>
      </c>
      <c r="K71" s="2">
        <v>0.03</v>
      </c>
      <c r="L71" s="2">
        <v>0.7</v>
      </c>
      <c r="M71" s="67">
        <f t="shared" si="33"/>
        <v>3.3621240405256132</v>
      </c>
      <c r="N71" s="67">
        <f t="shared" si="34"/>
        <v>1.0701973206754944</v>
      </c>
      <c r="O71" s="67">
        <f t="shared" si="40"/>
        <v>63</v>
      </c>
      <c r="P71" s="2">
        <v>0.4</v>
      </c>
      <c r="Q71" s="67">
        <f t="shared" si="41"/>
        <v>26.068496333931797</v>
      </c>
      <c r="R71" s="67">
        <f t="shared" si="31"/>
        <v>0.15015453888344718</v>
      </c>
      <c r="S71" s="67">
        <f t="shared" si="35"/>
        <v>111.44696640639131</v>
      </c>
      <c r="T71" s="67">
        <f t="shared" si="36"/>
        <v>34.827177001997285</v>
      </c>
      <c r="U71" s="37">
        <v>29.01</v>
      </c>
      <c r="V71" s="67">
        <f t="shared" si="20"/>
        <v>0.16709760000000001</v>
      </c>
      <c r="W71" s="67">
        <f t="shared" si="37"/>
        <v>113.33</v>
      </c>
      <c r="X71" s="67">
        <f t="shared" si="21"/>
        <v>35.415624999999999</v>
      </c>
    </row>
    <row r="72" spans="1:24" ht="19">
      <c r="A72" s="3">
        <v>69</v>
      </c>
      <c r="B72" s="2">
        <v>5.08</v>
      </c>
      <c r="C72" s="67">
        <f t="shared" si="32"/>
        <v>1.6170142218136567</v>
      </c>
      <c r="D72" s="18">
        <f t="shared" si="38"/>
        <v>0.41428571428571431</v>
      </c>
      <c r="E72" s="8">
        <v>140</v>
      </c>
      <c r="F72" s="290">
        <v>0</v>
      </c>
      <c r="G72" s="67">
        <f t="shared" si="39"/>
        <v>136.97565771561304</v>
      </c>
      <c r="H72" s="67">
        <f t="shared" si="22"/>
        <v>0.78897978844193106</v>
      </c>
      <c r="I72" s="37">
        <v>142.34</v>
      </c>
      <c r="J72" s="67">
        <f t="shared" si="30"/>
        <v>0.8198783999999999</v>
      </c>
      <c r="K72" s="2">
        <v>0.03</v>
      </c>
      <c r="L72" s="2">
        <v>0.7</v>
      </c>
      <c r="M72" s="67">
        <f t="shared" si="33"/>
        <v>3.3521240405256139</v>
      </c>
      <c r="N72" s="67">
        <f t="shared" si="34"/>
        <v>1.0670142218136567</v>
      </c>
      <c r="O72" s="67">
        <f t="shared" si="40"/>
        <v>63</v>
      </c>
      <c r="P72" s="2">
        <v>0.4</v>
      </c>
      <c r="Q72" s="67">
        <f t="shared" si="41"/>
        <v>25.913655357678469</v>
      </c>
      <c r="R72" s="67">
        <f t="shared" si="31"/>
        <v>0.14926265486022797</v>
      </c>
      <c r="S72" s="67">
        <f t="shared" si="35"/>
        <v>111.06200235793457</v>
      </c>
      <c r="T72" s="67">
        <f t="shared" si="36"/>
        <v>34.706875736854549</v>
      </c>
      <c r="U72" s="37">
        <v>29.01</v>
      </c>
      <c r="V72" s="67">
        <f t="shared" si="20"/>
        <v>0.16709760000000001</v>
      </c>
      <c r="W72" s="67">
        <f t="shared" si="37"/>
        <v>113.33</v>
      </c>
      <c r="X72" s="67">
        <f t="shared" si="21"/>
        <v>35.415624999999999</v>
      </c>
    </row>
    <row r="73" spans="1:24" ht="19">
      <c r="A73" s="3" t="s">
        <v>2</v>
      </c>
      <c r="B73" s="2">
        <v>5.0524936</v>
      </c>
      <c r="C73" s="67">
        <f t="shared" si="32"/>
        <v>1.6082586627603308</v>
      </c>
      <c r="D73" s="18">
        <f t="shared" si="38"/>
        <v>0.41428571428571431</v>
      </c>
      <c r="E73" s="8">
        <v>140</v>
      </c>
      <c r="F73" s="290">
        <v>0</v>
      </c>
      <c r="G73" s="67">
        <f t="shared" si="39"/>
        <v>135.49632431735836</v>
      </c>
      <c r="H73" s="67">
        <f t="shared" si="22"/>
        <v>0.78045882806798406</v>
      </c>
      <c r="I73" s="37">
        <v>140.6</v>
      </c>
      <c r="J73" s="67">
        <f t="shared" si="30"/>
        <v>0.80985599999999991</v>
      </c>
      <c r="K73" s="2">
        <v>0.03</v>
      </c>
      <c r="L73" s="2">
        <v>0.7</v>
      </c>
      <c r="M73" s="67">
        <f t="shared" si="33"/>
        <v>3.3246176405256134</v>
      </c>
      <c r="N73" s="67">
        <f t="shared" si="34"/>
        <v>1.0582586627603308</v>
      </c>
      <c r="O73" s="67">
        <f t="shared" si="40"/>
        <v>63</v>
      </c>
      <c r="P73" s="2">
        <v>0.4</v>
      </c>
      <c r="Q73" s="67">
        <f t="shared" si="41"/>
        <v>25.490122756685043</v>
      </c>
      <c r="R73" s="67">
        <f t="shared" si="31"/>
        <v>0.14682310707850585</v>
      </c>
      <c r="S73" s="67">
        <f t="shared" si="35"/>
        <v>110.00620156067332</v>
      </c>
      <c r="T73" s="67">
        <f t="shared" si="36"/>
        <v>34.376937987710413</v>
      </c>
      <c r="U73" s="37">
        <v>28.47</v>
      </c>
      <c r="V73" s="67">
        <f t="shared" si="20"/>
        <v>0.1639872</v>
      </c>
      <c r="W73" s="67">
        <f t="shared" si="37"/>
        <v>112.13</v>
      </c>
      <c r="X73" s="67">
        <f t="shared" si="21"/>
        <v>35.040624999999999</v>
      </c>
    </row>
    <row r="74" spans="1:24" ht="19">
      <c r="A74" s="1">
        <v>112</v>
      </c>
      <c r="B74" s="2">
        <f>1.52*3.28084</f>
        <v>4.9868768000000001</v>
      </c>
      <c r="C74" s="67">
        <f t="shared" si="32"/>
        <v>1.5873721866205863</v>
      </c>
      <c r="D74" s="18">
        <f t="shared" si="38"/>
        <v>0.41428571428571431</v>
      </c>
      <c r="E74" s="8">
        <v>140</v>
      </c>
      <c r="F74" s="290">
        <v>0</v>
      </c>
      <c r="G74" s="67">
        <f t="shared" si="39"/>
        <v>131.99979241981143</v>
      </c>
      <c r="H74" s="67">
        <f t="shared" si="22"/>
        <v>0.76031880433811372</v>
      </c>
      <c r="I74" s="37">
        <v>137.15</v>
      </c>
      <c r="J74" s="67">
        <f t="shared" si="30"/>
        <v>0.78998400000000002</v>
      </c>
      <c r="K74" s="2">
        <v>0.03</v>
      </c>
      <c r="L74" s="2">
        <v>0.7</v>
      </c>
      <c r="M74" s="67">
        <f t="shared" si="33"/>
        <v>3.2590008405256139</v>
      </c>
      <c r="N74" s="67">
        <f t="shared" si="34"/>
        <v>1.0373721866205863</v>
      </c>
      <c r="O74" s="67">
        <f t="shared" si="40"/>
        <v>63</v>
      </c>
      <c r="P74" s="2">
        <v>0.4</v>
      </c>
      <c r="Q74" s="67">
        <f t="shared" si="41"/>
        <v>24.493873019833615</v>
      </c>
      <c r="R74" s="67">
        <f t="shared" si="31"/>
        <v>0.14108470859424163</v>
      </c>
      <c r="S74" s="67">
        <f t="shared" si="35"/>
        <v>107.50591939997781</v>
      </c>
      <c r="T74" s="67">
        <f t="shared" si="36"/>
        <v>33.595599812493063</v>
      </c>
      <c r="U74" s="37">
        <v>27.42</v>
      </c>
      <c r="V74" s="67">
        <f t="shared" si="20"/>
        <v>0.1579392</v>
      </c>
      <c r="W74" s="67">
        <f t="shared" si="37"/>
        <v>109.73</v>
      </c>
      <c r="X74" s="67">
        <f t="shared" si="21"/>
        <v>34.290624999999999</v>
      </c>
    </row>
    <row r="75" spans="1:24" ht="19">
      <c r="A75" s="3">
        <v>33</v>
      </c>
      <c r="B75" s="2">
        <v>4.8099999999999996</v>
      </c>
      <c r="C75" s="67">
        <f t="shared" si="32"/>
        <v>1.5310705525440331</v>
      </c>
      <c r="D75" s="18">
        <f t="shared" si="38"/>
        <v>0.41428571428571431</v>
      </c>
      <c r="E75" s="8">
        <v>140</v>
      </c>
      <c r="F75" s="290">
        <v>0</v>
      </c>
      <c r="G75" s="67">
        <f t="shared" si="39"/>
        <v>122.80219304026112</v>
      </c>
      <c r="H75" s="67">
        <f t="shared" si="22"/>
        <v>0.70734063191190399</v>
      </c>
      <c r="I75" s="37">
        <v>127.05</v>
      </c>
      <c r="J75" s="67">
        <f t="shared" si="30"/>
        <v>0.7318079999999999</v>
      </c>
      <c r="K75" s="2">
        <v>0.03</v>
      </c>
      <c r="L75" s="2">
        <v>0.7</v>
      </c>
      <c r="M75" s="67">
        <f t="shared" si="33"/>
        <v>3.0821240405256134</v>
      </c>
      <c r="N75" s="67">
        <f t="shared" si="34"/>
        <v>0.98107055254403308</v>
      </c>
      <c r="O75" s="67">
        <f t="shared" si="40"/>
        <v>63</v>
      </c>
      <c r="P75" s="2">
        <v>0.4</v>
      </c>
      <c r="Q75" s="67">
        <f t="shared" si="41"/>
        <v>21.907294326318667</v>
      </c>
      <c r="R75" s="67">
        <f t="shared" si="31"/>
        <v>0.12618601531959553</v>
      </c>
      <c r="S75" s="67">
        <f t="shared" si="35"/>
        <v>100.89489871394245</v>
      </c>
      <c r="T75" s="67">
        <f t="shared" si="36"/>
        <v>31.529655848107016</v>
      </c>
      <c r="U75" s="37">
        <v>24.38</v>
      </c>
      <c r="V75" s="67">
        <f t="shared" si="20"/>
        <v>0.14042879999999999</v>
      </c>
      <c r="W75" s="67">
        <f t="shared" si="37"/>
        <v>102.67</v>
      </c>
      <c r="X75" s="67">
        <f t="shared" si="21"/>
        <v>32.084375000000001</v>
      </c>
    </row>
    <row r="76" spans="1:24" ht="19">
      <c r="A76" s="1">
        <v>110</v>
      </c>
      <c r="B76" s="2">
        <f>1.46*3.28084</f>
        <v>4.7900263999999995</v>
      </c>
      <c r="C76" s="67">
        <f t="shared" si="32"/>
        <v>1.5247127582013524</v>
      </c>
      <c r="D76" s="18">
        <f t="shared" si="38"/>
        <v>0.41428571428571431</v>
      </c>
      <c r="E76" s="8">
        <v>140</v>
      </c>
      <c r="F76" s="290">
        <v>0</v>
      </c>
      <c r="G76" s="67">
        <f t="shared" si="39"/>
        <v>121.78443452305658</v>
      </c>
      <c r="H76" s="67">
        <f t="shared" si="22"/>
        <v>0.70147834285280586</v>
      </c>
      <c r="I76" s="37">
        <v>125.41</v>
      </c>
      <c r="J76" s="67">
        <f t="shared" si="30"/>
        <v>0.72236159999999994</v>
      </c>
      <c r="K76" s="2">
        <v>0.03</v>
      </c>
      <c r="L76" s="2">
        <v>0.7</v>
      </c>
      <c r="M76" s="67">
        <f t="shared" si="33"/>
        <v>3.0621504405256132</v>
      </c>
      <c r="N76" s="67">
        <f t="shared" si="34"/>
        <v>0.97471275820135239</v>
      </c>
      <c r="O76" s="67">
        <f t="shared" si="40"/>
        <v>63</v>
      </c>
      <c r="P76" s="2">
        <v>0.4</v>
      </c>
      <c r="Q76" s="67">
        <f t="shared" si="41"/>
        <v>21.624275403353938</v>
      </c>
      <c r="R76" s="67">
        <f t="shared" si="31"/>
        <v>0.12455582632331869</v>
      </c>
      <c r="S76" s="67">
        <f t="shared" si="35"/>
        <v>100.16015911970264</v>
      </c>
      <c r="T76" s="67">
        <f t="shared" si="36"/>
        <v>31.300049724907073</v>
      </c>
      <c r="U76" s="37">
        <v>23.89</v>
      </c>
      <c r="V76" s="67">
        <f t="shared" si="20"/>
        <v>0.13760640000000002</v>
      </c>
      <c r="W76" s="67">
        <f t="shared" si="37"/>
        <v>101.52</v>
      </c>
      <c r="X76" s="67">
        <f t="shared" si="21"/>
        <v>31.724999999999998</v>
      </c>
    </row>
    <row r="77" spans="1:24" ht="19">
      <c r="A77" s="3">
        <v>60</v>
      </c>
      <c r="B77" s="2">
        <v>4.68</v>
      </c>
      <c r="C77" s="67">
        <f t="shared" si="32"/>
        <v>1.4896902673401402</v>
      </c>
      <c r="D77" s="18">
        <f t="shared" si="38"/>
        <v>0.41428571428571431</v>
      </c>
      <c r="E77" s="8">
        <v>140</v>
      </c>
      <c r="F77" s="290">
        <v>0</v>
      </c>
      <c r="G77" s="67">
        <f t="shared" si="39"/>
        <v>116.2539387729572</v>
      </c>
      <c r="H77" s="67">
        <f t="shared" si="22"/>
        <v>0.6696226873322334</v>
      </c>
      <c r="I77" s="37">
        <v>120.54</v>
      </c>
      <c r="J77" s="67">
        <f t="shared" si="30"/>
        <v>0.69431039999999999</v>
      </c>
      <c r="K77" s="2">
        <v>0.03</v>
      </c>
      <c r="L77" s="2">
        <v>0.7</v>
      </c>
      <c r="M77" s="67">
        <f t="shared" si="33"/>
        <v>2.9521240405256131</v>
      </c>
      <c r="N77" s="67">
        <f t="shared" si="34"/>
        <v>0.93969026734014016</v>
      </c>
      <c r="O77" s="67">
        <f t="shared" si="40"/>
        <v>63</v>
      </c>
      <c r="P77" s="2">
        <v>0.4</v>
      </c>
      <c r="Q77" s="67">
        <f t="shared" si="41"/>
        <v>20.09822574811075</v>
      </c>
      <c r="R77" s="67">
        <f t="shared" si="31"/>
        <v>0.11576578030911791</v>
      </c>
      <c r="S77" s="67">
        <f t="shared" si="35"/>
        <v>96.155713024846449</v>
      </c>
      <c r="T77" s="67">
        <f t="shared" si="36"/>
        <v>30.048660320264514</v>
      </c>
      <c r="U77" s="37">
        <v>22.46</v>
      </c>
      <c r="V77" s="67">
        <f t="shared" si="20"/>
        <v>0.1293696</v>
      </c>
      <c r="W77" s="67">
        <f t="shared" si="37"/>
        <v>98.080000000000013</v>
      </c>
      <c r="X77" s="67">
        <f t="shared" si="21"/>
        <v>30.650000000000002</v>
      </c>
    </row>
    <row r="78" spans="1:24" ht="19">
      <c r="A78" s="3" t="s">
        <v>2</v>
      </c>
      <c r="B78" s="2">
        <v>4.62</v>
      </c>
      <c r="C78" s="67">
        <f t="shared" si="32"/>
        <v>1.470591674169113</v>
      </c>
      <c r="D78" s="18">
        <f t="shared" si="38"/>
        <v>0.41428571428571431</v>
      </c>
      <c r="E78" s="8">
        <v>140</v>
      </c>
      <c r="F78" s="290">
        <v>0</v>
      </c>
      <c r="G78" s="67">
        <f t="shared" si="39"/>
        <v>113.29217669047722</v>
      </c>
      <c r="H78" s="67">
        <f t="shared" si="22"/>
        <v>0.6525629377371488</v>
      </c>
      <c r="I78" s="37">
        <v>117.35</v>
      </c>
      <c r="J78" s="67">
        <f t="shared" si="30"/>
        <v>0.67593599999999987</v>
      </c>
      <c r="K78" s="2">
        <v>0.03</v>
      </c>
      <c r="L78" s="2">
        <v>0.7</v>
      </c>
      <c r="M78" s="67">
        <f t="shared" si="33"/>
        <v>2.8921240405256134</v>
      </c>
      <c r="N78" s="67">
        <f t="shared" si="34"/>
        <v>0.92059167416911292</v>
      </c>
      <c r="O78" s="67">
        <f t="shared" si="40"/>
        <v>63</v>
      </c>
      <c r="P78" s="2">
        <v>0.4</v>
      </c>
      <c r="Q78" s="67">
        <f t="shared" si="41"/>
        <v>19.289561188136695</v>
      </c>
      <c r="R78" s="67">
        <f t="shared" si="31"/>
        <v>0.11110787244366736</v>
      </c>
      <c r="S78" s="67">
        <f t="shared" si="35"/>
        <v>94.002615502340518</v>
      </c>
      <c r="T78" s="67">
        <f t="shared" si="36"/>
        <v>29.375817344481412</v>
      </c>
      <c r="U78" s="37">
        <v>21.52</v>
      </c>
      <c r="V78" s="67">
        <f t="shared" si="20"/>
        <v>0.1239552</v>
      </c>
      <c r="W78" s="67">
        <f t="shared" si="37"/>
        <v>95.83</v>
      </c>
      <c r="X78" s="67">
        <f t="shared" si="21"/>
        <v>29.946874999999999</v>
      </c>
    </row>
    <row r="79" spans="1:24" ht="19">
      <c r="A79" s="3">
        <v>75</v>
      </c>
      <c r="B79" s="2">
        <v>4.26</v>
      </c>
      <c r="C79" s="67">
        <f t="shared" si="32"/>
        <v>1.3560001151429482</v>
      </c>
      <c r="D79" s="18">
        <f t="shared" si="38"/>
        <v>0.41428571428571431</v>
      </c>
      <c r="E79" s="8">
        <v>140</v>
      </c>
      <c r="F79" s="290">
        <v>0</v>
      </c>
      <c r="G79" s="67">
        <f t="shared" si="39"/>
        <v>96.324146179236877</v>
      </c>
      <c r="H79" s="67">
        <f t="shared" si="22"/>
        <v>0.55482708199240438</v>
      </c>
      <c r="I79" s="37">
        <v>100.56</v>
      </c>
      <c r="J79" s="67">
        <f t="shared" si="30"/>
        <v>0.57922560000000001</v>
      </c>
      <c r="K79" s="2">
        <v>0.03</v>
      </c>
      <c r="L79" s="2">
        <v>0.7</v>
      </c>
      <c r="M79" s="67">
        <f t="shared" si="33"/>
        <v>2.5321240405256131</v>
      </c>
      <c r="N79" s="67">
        <f t="shared" si="34"/>
        <v>0.80600011514294811</v>
      </c>
      <c r="O79" s="67">
        <f t="shared" si="40"/>
        <v>63</v>
      </c>
      <c r="P79" s="2">
        <v>0.4</v>
      </c>
      <c r="Q79" s="67">
        <f t="shared" si="41"/>
        <v>14.786264483252971</v>
      </c>
      <c r="R79" s="67">
        <f t="shared" si="31"/>
        <v>8.5168883423537109E-2</v>
      </c>
      <c r="S79" s="67">
        <f t="shared" si="35"/>
        <v>81.537881695983913</v>
      </c>
      <c r="T79" s="67">
        <f t="shared" si="36"/>
        <v>25.480588029994973</v>
      </c>
      <c r="U79" s="37">
        <v>16.75</v>
      </c>
      <c r="V79" s="67">
        <f t="shared" ref="V79" si="42">U79*$N$1*$P$1/2000</f>
        <v>9.6479999999999996E-2</v>
      </c>
      <c r="W79" s="67">
        <f t="shared" si="37"/>
        <v>83.81</v>
      </c>
      <c r="X79" s="67">
        <f t="shared" si="21"/>
        <v>26.190625000000001</v>
      </c>
    </row>
    <row r="80" spans="1:24" ht="20" thickBot="1">
      <c r="A80" s="22"/>
      <c r="B80" s="21"/>
      <c r="C80" s="224"/>
      <c r="D80" s="23"/>
      <c r="E80" s="24"/>
      <c r="F80" s="24"/>
      <c r="G80" s="224"/>
      <c r="H80" s="224"/>
      <c r="I80" s="38"/>
      <c r="J80" s="224"/>
      <c r="K80" s="21"/>
      <c r="L80" s="21"/>
      <c r="M80" s="224"/>
      <c r="N80" s="224"/>
      <c r="O80" s="224"/>
      <c r="P80" s="21"/>
      <c r="Q80" s="224"/>
      <c r="R80" s="224"/>
      <c r="S80" s="224"/>
      <c r="T80" s="224"/>
      <c r="U80" s="38"/>
      <c r="V80" s="224"/>
      <c r="W80" s="224"/>
      <c r="X80" s="224"/>
    </row>
    <row r="81" spans="1:24" ht="20" thickBot="1">
      <c r="A81" s="47"/>
      <c r="B81" s="48"/>
      <c r="C81" s="49"/>
      <c r="D81" s="50"/>
      <c r="E81" s="49"/>
      <c r="F81" s="288"/>
      <c r="G81" s="225">
        <f>SUM(G4:G79)</f>
        <v>27106.582429014776</v>
      </c>
      <c r="H81" s="225">
        <f>SUM(H4:H79)</f>
        <v>156.13391479112514</v>
      </c>
      <c r="I81" s="225">
        <f>SUM(I4:I79)</f>
        <v>27869.81</v>
      </c>
      <c r="J81" s="225">
        <f>SUM(J4:J79)</f>
        <v>160.53010559999998</v>
      </c>
      <c r="K81" s="25"/>
      <c r="L81" s="25"/>
      <c r="M81" s="225">
        <f t="shared" ref="M81:N81" si="43">AVERAGE(M4:M79)</f>
        <v>4.4395474067992051</v>
      </c>
      <c r="N81" s="225">
        <f t="shared" si="43"/>
        <v>1.4131518297657983</v>
      </c>
      <c r="O81" s="225">
        <f>AVERAGE(O4:O79)</f>
        <v>70.947368421052644</v>
      </c>
      <c r="P81" s="25"/>
      <c r="Q81" s="225">
        <f t="shared" ref="Q81:X81" si="44">SUM(Q4:Q79)</f>
        <v>4144.6131519546989</v>
      </c>
      <c r="R81" s="225">
        <f t="shared" si="44"/>
        <v>23.872971755259062</v>
      </c>
      <c r="S81" s="225">
        <f t="shared" si="44"/>
        <v>22961.969277060089</v>
      </c>
      <c r="T81" s="225">
        <f t="shared" si="44"/>
        <v>7175.6153990812709</v>
      </c>
      <c r="U81" s="225">
        <f t="shared" si="44"/>
        <v>4565.8900000000031</v>
      </c>
      <c r="V81" s="225">
        <f t="shared" si="44"/>
        <v>26.299526399999994</v>
      </c>
      <c r="W81" s="225">
        <f t="shared" si="44"/>
        <v>23303.920000000006</v>
      </c>
      <c r="X81" s="225">
        <f t="shared" si="44"/>
        <v>7282.4749999999985</v>
      </c>
    </row>
    <row r="82" spans="1:24" ht="111" thickBot="1">
      <c r="A82" s="65" t="s">
        <v>12</v>
      </c>
      <c r="B82" s="63" t="s">
        <v>140</v>
      </c>
      <c r="C82" s="51" t="s">
        <v>141</v>
      </c>
      <c r="D82" s="52" t="s">
        <v>30</v>
      </c>
      <c r="E82" s="53" t="s">
        <v>139</v>
      </c>
      <c r="F82" s="303"/>
      <c r="G82" s="44" t="s">
        <v>138</v>
      </c>
      <c r="H82" s="27" t="s">
        <v>142</v>
      </c>
      <c r="I82" s="44" t="s">
        <v>143</v>
      </c>
      <c r="J82" s="27" t="s">
        <v>142</v>
      </c>
      <c r="K82" s="27"/>
      <c r="L82" s="27"/>
      <c r="M82" s="27"/>
      <c r="N82" s="27"/>
      <c r="O82" s="27"/>
      <c r="P82" s="27"/>
      <c r="Q82" s="41" t="s">
        <v>144</v>
      </c>
      <c r="R82" s="41" t="s">
        <v>146</v>
      </c>
      <c r="S82" s="41" t="s">
        <v>147</v>
      </c>
      <c r="T82" s="41" t="s">
        <v>148</v>
      </c>
      <c r="U82" s="41" t="s">
        <v>145</v>
      </c>
      <c r="V82" s="41" t="s">
        <v>149</v>
      </c>
      <c r="W82" s="41" t="s">
        <v>150</v>
      </c>
      <c r="X82" s="41" t="s">
        <v>151</v>
      </c>
    </row>
    <row r="83" spans="1:24" ht="20" customHeight="1" thickBot="1">
      <c r="A83" s="64">
        <v>76</v>
      </c>
      <c r="B83" s="54">
        <f t="shared" ref="B83:G83" si="45">AVERAGE(B4:B79)</f>
        <v>7.7588880657894732</v>
      </c>
      <c r="C83" s="55">
        <f t="shared" si="45"/>
        <v>2.4697307771342194</v>
      </c>
      <c r="D83" s="56">
        <f t="shared" si="45"/>
        <v>0.41469357959267389</v>
      </c>
      <c r="E83" s="57">
        <f t="shared" si="45"/>
        <v>147.9473684210526</v>
      </c>
      <c r="F83" s="304"/>
      <c r="G83" s="46">
        <f t="shared" si="45"/>
        <v>356.66555827651018</v>
      </c>
      <c r="H83" s="40">
        <f>G83*N1*P1/2000</f>
        <v>2.0543936156726987</v>
      </c>
      <c r="I83" s="42">
        <f>AVERAGE(I4:I80)</f>
        <v>366.70802631578948</v>
      </c>
      <c r="J83" s="40">
        <f>I83*N1*P1/2000</f>
        <v>2.1122382315789472</v>
      </c>
      <c r="K83" s="40"/>
      <c r="L83" s="26"/>
      <c r="M83" s="26"/>
      <c r="N83" s="26"/>
      <c r="O83" s="26"/>
      <c r="P83" s="229" t="s">
        <v>152</v>
      </c>
      <c r="Q83" s="42">
        <f>AVERAGE(Q4:Q80)</f>
        <v>54.534383578351303</v>
      </c>
      <c r="R83" s="42">
        <f>Q83*N1*P1/2000</f>
        <v>0.3141180494113035</v>
      </c>
      <c r="S83" s="42">
        <f>AVERAGE(S4:S80)</f>
        <v>302.13117469815904</v>
      </c>
      <c r="T83" s="42">
        <f>AVERAGE(T4:T80)</f>
        <v>94.415992093174623</v>
      </c>
      <c r="U83" s="42">
        <f>AVERAGE(U4:U80)</f>
        <v>60.077500000000043</v>
      </c>
      <c r="V83" s="42">
        <f>U83*N1*P1/2000</f>
        <v>0.34604640000000025</v>
      </c>
      <c r="W83" s="42">
        <f>AVERAGE(W4:W80)</f>
        <v>306.63052631578955</v>
      </c>
      <c r="X83" s="42">
        <f>AVERAGE(X4:X80)</f>
        <v>95.822039473684185</v>
      </c>
    </row>
    <row r="84" spans="1:24" ht="20" thickBot="1">
      <c r="A84" s="58"/>
      <c r="B84" s="59"/>
      <c r="C84" s="60" t="s">
        <v>31</v>
      </c>
      <c r="D84" s="61"/>
      <c r="E84" s="62">
        <f>PI()*C83^2/4*E83*D83*$K$1</f>
        <v>338.00373986713504</v>
      </c>
      <c r="F84" s="62"/>
      <c r="G84" s="46">
        <f>SUM(G4:G80)</f>
        <v>27106.582429014776</v>
      </c>
      <c r="H84" s="40">
        <f>G84*N1*P1/2000</f>
        <v>156.13391479112511</v>
      </c>
      <c r="I84" s="40">
        <f>I81</f>
        <v>27869.81</v>
      </c>
      <c r="J84" s="40">
        <f>I84*N1*P1/2000</f>
        <v>160.53010560000001</v>
      </c>
    </row>
    <row r="85" spans="1:24">
      <c r="D85" s="19"/>
    </row>
  </sheetData>
  <sheetProtection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E3B77-B3B5-E141-A600-E78F90C72613}">
  <dimension ref="A1:AH129"/>
  <sheetViews>
    <sheetView topLeftCell="A59" workbookViewId="0">
      <selection activeCell="L98" sqref="L98"/>
    </sheetView>
  </sheetViews>
  <sheetFormatPr baseColWidth="10" defaultRowHeight="16"/>
  <cols>
    <col min="1" max="1" width="12.6640625" customWidth="1"/>
    <col min="3" max="3" width="13.33203125" customWidth="1"/>
    <col min="4" max="4" width="14.33203125" customWidth="1"/>
    <col min="5" max="5" width="23.6640625" customWidth="1"/>
    <col min="6" max="6" width="12.6640625" customWidth="1"/>
    <col min="7" max="7" width="12.83203125" customWidth="1"/>
    <col min="8" max="8" width="18" customWidth="1"/>
    <col min="9" max="9" width="12.83203125" customWidth="1"/>
    <col min="10" max="10" width="15.1640625" customWidth="1"/>
    <col min="11" max="11" width="18.1640625" customWidth="1"/>
    <col min="12" max="12" width="13.5" customWidth="1"/>
    <col min="13" max="13" width="13.1640625" customWidth="1"/>
    <col min="14" max="14" width="23.33203125" customWidth="1"/>
    <col min="18" max="18" width="15.5" customWidth="1"/>
    <col min="19" max="19" width="18" customWidth="1"/>
    <col min="20" max="20" width="24.83203125" customWidth="1"/>
    <col min="21" max="21" width="29" customWidth="1"/>
    <col min="22" max="22" width="16.83203125" customWidth="1"/>
    <col min="23" max="23" width="11.33203125" customWidth="1"/>
    <col min="24" max="24" width="18" customWidth="1"/>
    <col min="25" max="25" width="18.5" customWidth="1"/>
    <col min="26" max="26" width="21.83203125" customWidth="1"/>
    <col min="27" max="27" width="29" customWidth="1"/>
    <col min="28" max="28" width="25.5" customWidth="1"/>
    <col min="30" max="30" width="13" customWidth="1"/>
  </cols>
  <sheetData>
    <row r="1" spans="1:29" ht="20" thickBot="1">
      <c r="A1" s="66"/>
      <c r="B1" s="66" t="s">
        <v>33</v>
      </c>
      <c r="C1" s="66" t="s">
        <v>33</v>
      </c>
      <c r="E1" s="66" t="s">
        <v>33</v>
      </c>
      <c r="F1" s="66" t="s">
        <v>33</v>
      </c>
      <c r="G1" s="66" t="s">
        <v>33</v>
      </c>
      <c r="H1" s="66" t="s">
        <v>33</v>
      </c>
      <c r="K1" s="66" t="s">
        <v>38</v>
      </c>
      <c r="L1" s="66" t="s">
        <v>38</v>
      </c>
      <c r="M1" s="66" t="s">
        <v>38</v>
      </c>
      <c r="N1" s="66" t="s">
        <v>38</v>
      </c>
    </row>
    <row r="2" spans="1:29" ht="23" thickBot="1">
      <c r="A2" s="39" t="s">
        <v>39</v>
      </c>
      <c r="B2" s="39"/>
      <c r="C2" s="39"/>
      <c r="E2" s="14" t="s">
        <v>5</v>
      </c>
      <c r="F2" s="14" t="s">
        <v>5</v>
      </c>
      <c r="G2" s="14" t="s">
        <v>5</v>
      </c>
      <c r="H2" s="69" t="s">
        <v>5</v>
      </c>
      <c r="K2" s="14" t="s">
        <v>5</v>
      </c>
      <c r="L2" s="14" t="s">
        <v>5</v>
      </c>
      <c r="M2" s="14" t="s">
        <v>5</v>
      </c>
      <c r="N2" s="69" t="s">
        <v>5</v>
      </c>
    </row>
    <row r="3" spans="1:29" ht="88">
      <c r="A3" s="39" t="s">
        <v>0</v>
      </c>
      <c r="B3" s="39" t="s">
        <v>35</v>
      </c>
      <c r="C3" s="39" t="s">
        <v>36</v>
      </c>
      <c r="E3" s="27" t="s">
        <v>34</v>
      </c>
      <c r="F3" s="27" t="s">
        <v>41</v>
      </c>
      <c r="G3" s="27" t="s">
        <v>100</v>
      </c>
      <c r="H3" s="27" t="s">
        <v>42</v>
      </c>
      <c r="K3" s="27" t="s">
        <v>37</v>
      </c>
      <c r="L3" s="27" t="s">
        <v>41</v>
      </c>
      <c r="M3" s="27" t="s">
        <v>100</v>
      </c>
      <c r="N3" s="27" t="s">
        <v>42</v>
      </c>
    </row>
    <row r="4" spans="1:29" ht="19">
      <c r="A4" s="68">
        <f>Main!A4</f>
        <v>58</v>
      </c>
      <c r="B4" s="67">
        <f>Main!C4</f>
        <v>3.4462685630578518</v>
      </c>
      <c r="C4" s="67">
        <f>Main!E4</f>
        <v>176.2</v>
      </c>
      <c r="E4" s="67">
        <f>Main!H4</f>
        <v>4.4147407430736267</v>
      </c>
      <c r="F4" s="67">
        <f>Main!R4</f>
        <v>0.9657592967696893</v>
      </c>
      <c r="G4" s="67">
        <f>E4-F4</f>
        <v>3.4489814463039377</v>
      </c>
      <c r="H4" s="67">
        <f>G4/2</f>
        <v>1.7244907231519688</v>
      </c>
      <c r="K4" s="67">
        <f>Main!J4</f>
        <v>4.6266048</v>
      </c>
      <c r="L4" s="67">
        <f>Main!V4</f>
        <v>1.1268288</v>
      </c>
      <c r="M4" s="67">
        <f>K4-L4</f>
        <v>3.4997759999999998</v>
      </c>
      <c r="N4" s="67">
        <f>M4/2</f>
        <v>1.7498879999999999</v>
      </c>
    </row>
    <row r="5" spans="1:29" ht="19">
      <c r="A5" s="68">
        <f>Main!A5</f>
        <v>77</v>
      </c>
      <c r="B5" s="67">
        <f>Main!C5</f>
        <v>3.5650707252584555</v>
      </c>
      <c r="C5" s="67">
        <f>Main!E5</f>
        <v>156.1</v>
      </c>
      <c r="E5" s="67">
        <f>Main!H5</f>
        <v>4.2875209565468921</v>
      </c>
      <c r="F5" s="67">
        <f>Main!R5</f>
        <v>0.85699442924455893</v>
      </c>
      <c r="G5" s="67">
        <f>E5-F5</f>
        <v>3.4305265273023333</v>
      </c>
      <c r="H5" s="67">
        <f t="shared" ref="H5:H68" si="0">G5/2</f>
        <v>1.7152632636511667</v>
      </c>
      <c r="K5" s="67">
        <f>Main!J5</f>
        <v>4.3948800000000006</v>
      </c>
      <c r="L5" s="67">
        <f>Main!V5</f>
        <v>0.93265920000000002</v>
      </c>
      <c r="M5" s="67">
        <f>K5-L5</f>
        <v>3.4622208000000008</v>
      </c>
      <c r="N5" s="67">
        <f t="shared" ref="N5:N68" si="1">M5/2</f>
        <v>1.7311104000000004</v>
      </c>
    </row>
    <row r="6" spans="1:29" ht="20" thickBot="1">
      <c r="A6" s="68">
        <f>Main!A6</f>
        <v>27</v>
      </c>
      <c r="B6" s="67">
        <f>Main!C6</f>
        <v>3.5300566377782387</v>
      </c>
      <c r="C6" s="67">
        <f>Main!E6</f>
        <v>155</v>
      </c>
      <c r="E6" s="67">
        <f>Main!H6</f>
        <v>4.173407518482172</v>
      </c>
      <c r="F6" s="67">
        <f>Main!R6</f>
        <v>0.8193396638826187</v>
      </c>
      <c r="G6" s="67">
        <f t="shared" ref="G6:G69" si="2">E6-F6</f>
        <v>3.3540678545995535</v>
      </c>
      <c r="H6" s="67">
        <f t="shared" si="0"/>
        <v>1.6770339272997767</v>
      </c>
      <c r="K6" s="67">
        <f>Main!J6</f>
        <v>4.2792192</v>
      </c>
      <c r="L6" s="67">
        <f>Main!V6</f>
        <v>0.89625600000000005</v>
      </c>
      <c r="M6" s="67">
        <f t="shared" ref="M6:M69" si="3">K6-L6</f>
        <v>3.3829631999999998</v>
      </c>
      <c r="N6" s="67">
        <f t="shared" si="1"/>
        <v>1.6914815999999999</v>
      </c>
    </row>
    <row r="7" spans="1:29" ht="22" thickBot="1">
      <c r="A7" s="68">
        <f>Main!A7</f>
        <v>52</v>
      </c>
      <c r="B7" s="67">
        <f>Main!C7</f>
        <v>3.1434146590315555</v>
      </c>
      <c r="C7" s="67">
        <f>Main!E7</f>
        <v>169</v>
      </c>
      <c r="E7" s="67">
        <f>Main!H7</f>
        <v>3.615124798307777</v>
      </c>
      <c r="F7" s="67">
        <f>Main!R7</f>
        <v>0.6624023875867967</v>
      </c>
      <c r="G7" s="67">
        <f t="shared" si="2"/>
        <v>2.9527224107209804</v>
      </c>
      <c r="H7" s="67">
        <f t="shared" si="0"/>
        <v>1.4763612053604902</v>
      </c>
      <c r="K7" s="67">
        <f>Main!J7</f>
        <v>3.6856512000000001</v>
      </c>
      <c r="L7" s="67">
        <f>Main!V7</f>
        <v>0.71861760000000008</v>
      </c>
      <c r="M7" s="67">
        <f t="shared" si="3"/>
        <v>2.9670336000000002</v>
      </c>
      <c r="N7" s="67">
        <f t="shared" si="1"/>
        <v>1.4835168000000001</v>
      </c>
      <c r="T7" s="274" t="s">
        <v>134</v>
      </c>
      <c r="U7" s="275"/>
      <c r="V7" s="275"/>
      <c r="W7" s="275"/>
      <c r="X7" s="276"/>
      <c r="Y7" s="276"/>
      <c r="Z7" s="276"/>
      <c r="AA7" s="275"/>
      <c r="AB7" s="277"/>
    </row>
    <row r="8" spans="1:29" ht="37" thickBot="1">
      <c r="A8" s="68">
        <f>Main!A8</f>
        <v>26</v>
      </c>
      <c r="B8" s="67">
        <f>Main!C8</f>
        <v>3.1194368846011491</v>
      </c>
      <c r="C8" s="67">
        <f>Main!E8</f>
        <v>160</v>
      </c>
      <c r="E8" s="67">
        <f>Main!H8</f>
        <v>3.3665437013022061</v>
      </c>
      <c r="F8" s="67">
        <f>Main!R8</f>
        <v>0.58229442220580296</v>
      </c>
      <c r="G8" s="67">
        <f t="shared" si="2"/>
        <v>2.7842492790964033</v>
      </c>
      <c r="H8" s="67">
        <f t="shared" si="0"/>
        <v>1.3921246395482016</v>
      </c>
      <c r="K8" s="67">
        <f>Main!J8</f>
        <v>3.4492032000000004</v>
      </c>
      <c r="L8" s="67">
        <f>Main!V8</f>
        <v>0.63711360000000006</v>
      </c>
      <c r="M8" s="67">
        <f t="shared" si="3"/>
        <v>2.8120896000000002</v>
      </c>
      <c r="N8" s="67">
        <f t="shared" si="1"/>
        <v>1.4060448000000001</v>
      </c>
      <c r="T8" s="159" t="s">
        <v>33</v>
      </c>
      <c r="U8" s="85"/>
      <c r="V8" s="84"/>
      <c r="W8" s="84"/>
      <c r="X8" s="305" t="s">
        <v>153</v>
      </c>
      <c r="Y8" s="305" t="s">
        <v>154</v>
      </c>
      <c r="Z8" s="108" t="s">
        <v>102</v>
      </c>
      <c r="AA8" s="84"/>
      <c r="AB8" s="157" t="s">
        <v>111</v>
      </c>
    </row>
    <row r="9" spans="1:29" ht="19">
      <c r="A9" s="68">
        <f>Main!A9</f>
        <v>105</v>
      </c>
      <c r="B9" s="67">
        <f>Main!C9</f>
        <v>3.2165173255206616</v>
      </c>
      <c r="C9" s="67">
        <f>Main!E9</f>
        <v>147</v>
      </c>
      <c r="E9" s="67">
        <f>Main!H9</f>
        <v>3.2819639338927815</v>
      </c>
      <c r="F9" s="67">
        <f>Main!R9</f>
        <v>0.54439561333558317</v>
      </c>
      <c r="G9" s="67">
        <f t="shared" si="2"/>
        <v>2.7375683205571981</v>
      </c>
      <c r="H9" s="67">
        <f t="shared" si="0"/>
        <v>1.3687841602785991</v>
      </c>
      <c r="K9" s="67">
        <f>Main!J9</f>
        <v>3.3817536000000001</v>
      </c>
      <c r="L9" s="67">
        <f>Main!V9</f>
        <v>0.59552640000000001</v>
      </c>
      <c r="M9" s="67">
        <f t="shared" si="3"/>
        <v>2.7862271999999999</v>
      </c>
      <c r="N9" s="67">
        <f t="shared" si="1"/>
        <v>1.3931136</v>
      </c>
      <c r="T9" s="211" t="s">
        <v>67</v>
      </c>
      <c r="U9" s="212" t="s">
        <v>67</v>
      </c>
      <c r="V9" s="239" t="s">
        <v>69</v>
      </c>
      <c r="W9" s="157" t="s">
        <v>68</v>
      </c>
      <c r="X9" s="157" t="s">
        <v>112</v>
      </c>
      <c r="Y9" s="157" t="s">
        <v>113</v>
      </c>
      <c r="Z9" s="157" t="s">
        <v>70</v>
      </c>
      <c r="AA9" s="157" t="s">
        <v>101</v>
      </c>
      <c r="AB9" s="212" t="s">
        <v>103</v>
      </c>
    </row>
    <row r="10" spans="1:29" ht="24">
      <c r="A10" s="68">
        <f>Main!A10</f>
        <v>104</v>
      </c>
      <c r="B10" s="67">
        <f>Main!C10</f>
        <v>3.2060740874507894</v>
      </c>
      <c r="C10" s="67">
        <f>Main!E10</f>
        <v>147</v>
      </c>
      <c r="E10" s="67">
        <f>Main!H10</f>
        <v>3.2606870762930176</v>
      </c>
      <c r="F10" s="67">
        <f>Main!R10</f>
        <v>0.53852974967554412</v>
      </c>
      <c r="G10" s="67">
        <f t="shared" si="2"/>
        <v>2.7221573266174737</v>
      </c>
      <c r="H10" s="67">
        <f t="shared" si="0"/>
        <v>1.3610786633087368</v>
      </c>
      <c r="K10" s="67">
        <f>Main!J10</f>
        <v>3.3607872000000003</v>
      </c>
      <c r="L10" s="67">
        <f>Main!V10</f>
        <v>0.56090879999999999</v>
      </c>
      <c r="M10" s="67">
        <f t="shared" si="3"/>
        <v>2.7998784000000003</v>
      </c>
      <c r="N10" s="67">
        <f t="shared" si="1"/>
        <v>1.3999392000000002</v>
      </c>
      <c r="T10" s="213" t="s">
        <v>41</v>
      </c>
      <c r="U10" s="241" t="s">
        <v>41</v>
      </c>
      <c r="V10" s="240">
        <f>DSUM(F3:F79,1,T10:T11)</f>
        <v>23.872971755259062</v>
      </c>
      <c r="W10" s="108">
        <f>DCOUNT(F3:F79,1,U10:U11)</f>
        <v>11</v>
      </c>
      <c r="X10" s="108">
        <f>DMAX(F3:F79,1,T10:T11)</f>
        <v>0.9657592967696893</v>
      </c>
      <c r="Y10" s="108">
        <f>DMIN(F3:F79,1,T10:T11)</f>
        <v>8.5168883423537109E-2</v>
      </c>
      <c r="Z10" s="108">
        <f>Y10+(X10-Y10)*AA10</f>
        <v>0.17322792475815235</v>
      </c>
      <c r="AA10" s="258">
        <v>0.1</v>
      </c>
      <c r="AB10" s="214">
        <f>DAVERAGE(F3:F79,1,U10:U11)</f>
        <v>0.1355374076733124</v>
      </c>
      <c r="AC10" s="246" t="s">
        <v>109</v>
      </c>
    </row>
    <row r="11" spans="1:29" ht="19">
      <c r="A11" s="68">
        <f>Main!A11</f>
        <v>38</v>
      </c>
      <c r="B11" s="67">
        <f>Main!C11</f>
        <v>3.080717670045753</v>
      </c>
      <c r="C11" s="67">
        <f>Main!E11</f>
        <v>157.6</v>
      </c>
      <c r="E11" s="67">
        <f>Main!H11</f>
        <v>3.2331263344845964</v>
      </c>
      <c r="F11" s="67">
        <f>Main!R11</f>
        <v>0.54186006369056572</v>
      </c>
      <c r="G11" s="67">
        <f t="shared" si="2"/>
        <v>2.6912662707940305</v>
      </c>
      <c r="H11" s="67">
        <f t="shared" si="0"/>
        <v>1.3456331353970152</v>
      </c>
      <c r="K11" s="67">
        <f>Main!J11</f>
        <v>3.3121727999999999</v>
      </c>
      <c r="L11" s="67">
        <f>Main!V11</f>
        <v>0.59293439999999997</v>
      </c>
      <c r="M11" s="67">
        <f t="shared" si="3"/>
        <v>2.7192384000000001</v>
      </c>
      <c r="N11" s="67">
        <f t="shared" si="1"/>
        <v>1.3596192</v>
      </c>
      <c r="T11" s="215"/>
      <c r="U11" s="115" t="str">
        <f>"&lt;"&amp;Z10</f>
        <v>&lt;0.173227924758152</v>
      </c>
      <c r="V11" s="86"/>
      <c r="W11" s="86"/>
      <c r="X11" s="86"/>
      <c r="Y11" s="86"/>
      <c r="Z11" s="86"/>
      <c r="AA11" s="86"/>
      <c r="AB11" s="87"/>
    </row>
    <row r="12" spans="1:29" ht="19">
      <c r="A12" s="68">
        <f>Main!A12</f>
        <v>5</v>
      </c>
      <c r="B12" s="67">
        <f>Main!C12</f>
        <v>3.1329714209616837</v>
      </c>
      <c r="C12" s="67">
        <f>Main!E12</f>
        <v>150.19999999999999</v>
      </c>
      <c r="E12" s="67">
        <f>Main!H12</f>
        <v>3.1831348357035272</v>
      </c>
      <c r="F12" s="67">
        <f>Main!R12</f>
        <v>0.52114046617290388</v>
      </c>
      <c r="G12" s="67">
        <f t="shared" si="2"/>
        <v>2.6619943695306234</v>
      </c>
      <c r="H12" s="67">
        <f t="shared" si="0"/>
        <v>1.3309971847653117</v>
      </c>
      <c r="K12" s="67">
        <f>Main!J12</f>
        <v>3.2634432000000007</v>
      </c>
      <c r="L12" s="67">
        <f>Main!V12</f>
        <v>0.57116160000000005</v>
      </c>
      <c r="M12" s="67">
        <f t="shared" si="3"/>
        <v>2.6922816000000007</v>
      </c>
      <c r="N12" s="67">
        <f t="shared" si="1"/>
        <v>1.3461408000000004</v>
      </c>
      <c r="T12" s="88"/>
      <c r="U12" s="87"/>
      <c r="V12" s="86"/>
      <c r="W12" s="86"/>
      <c r="X12" s="86"/>
      <c r="Y12" s="86"/>
      <c r="Z12" s="86"/>
      <c r="AA12" s="86"/>
      <c r="AB12" s="87"/>
    </row>
    <row r="13" spans="1:29" ht="20" thickBot="1">
      <c r="A13" s="68">
        <f>Main!A13</f>
        <v>65</v>
      </c>
      <c r="B13" s="67">
        <f>Main!C13</f>
        <v>3.2374038016604065</v>
      </c>
      <c r="C13" s="67">
        <f>Main!E13</f>
        <v>134.5</v>
      </c>
      <c r="E13" s="67">
        <f>Main!H13</f>
        <v>3.0350556459888955</v>
      </c>
      <c r="F13" s="67">
        <f>Main!R13</f>
        <v>0.45689718658611378</v>
      </c>
      <c r="G13" s="67">
        <f t="shared" si="2"/>
        <v>2.5781584594027818</v>
      </c>
      <c r="H13" s="67">
        <f t="shared" si="0"/>
        <v>1.2890792297013909</v>
      </c>
      <c r="K13" s="67">
        <f>Main!J13</f>
        <v>3.1397184000000005</v>
      </c>
      <c r="L13" s="67">
        <f>Main!V13</f>
        <v>0.50469120000000001</v>
      </c>
      <c r="M13" s="67">
        <f t="shared" si="3"/>
        <v>2.6350272000000006</v>
      </c>
      <c r="N13" s="67">
        <f t="shared" si="1"/>
        <v>1.3175136000000003</v>
      </c>
      <c r="T13" s="88"/>
      <c r="U13" s="87"/>
      <c r="V13" s="86"/>
      <c r="W13" s="86"/>
      <c r="X13" s="86"/>
      <c r="Y13" s="86"/>
      <c r="Z13" s="86"/>
      <c r="AA13" s="86"/>
      <c r="AB13" s="87"/>
    </row>
    <row r="14" spans="1:29" ht="27" thickBot="1">
      <c r="A14" s="68">
        <f>Main!A14</f>
        <v>63</v>
      </c>
      <c r="B14" s="67">
        <f>Main!C14</f>
        <v>3.014394622160498</v>
      </c>
      <c r="C14" s="67">
        <f>Main!E14</f>
        <v>153</v>
      </c>
      <c r="E14" s="67">
        <f>Main!H14</f>
        <v>3.0029983355352772</v>
      </c>
      <c r="F14" s="67">
        <f>Main!R14</f>
        <v>0.47392397311678475</v>
      </c>
      <c r="G14" s="67">
        <f t="shared" si="2"/>
        <v>2.5290743624184926</v>
      </c>
      <c r="H14" s="67">
        <f t="shared" si="0"/>
        <v>1.2645371812092463</v>
      </c>
      <c r="K14" s="67">
        <f>Main!J14</f>
        <v>3.0733055999999999</v>
      </c>
      <c r="L14" s="67">
        <f>Main!V14</f>
        <v>0.51805440000000003</v>
      </c>
      <c r="M14" s="67">
        <f t="shared" si="3"/>
        <v>2.5552511999999998</v>
      </c>
      <c r="N14" s="67">
        <f t="shared" si="1"/>
        <v>1.2776255999999999</v>
      </c>
      <c r="T14" s="159" t="s">
        <v>38</v>
      </c>
      <c r="U14" s="87"/>
      <c r="V14" s="86"/>
      <c r="W14" s="86"/>
      <c r="X14" s="86"/>
      <c r="Y14" s="86"/>
      <c r="Z14" s="86"/>
      <c r="AA14" s="86"/>
      <c r="AB14" s="87"/>
    </row>
    <row r="15" spans="1:29" ht="19">
      <c r="A15" s="68" t="str">
        <f>Main!A15</f>
        <v>90N</v>
      </c>
      <c r="B15" s="67">
        <f>Main!C15</f>
        <v>2.9867660879834714</v>
      </c>
      <c r="C15" s="67">
        <f>Main!E15</f>
        <v>147</v>
      </c>
      <c r="E15" s="67">
        <f>Main!H15</f>
        <v>2.8298566572851023</v>
      </c>
      <c r="F15" s="67">
        <f>Main!R15</f>
        <v>0.42268635100972174</v>
      </c>
      <c r="G15" s="67">
        <f t="shared" si="2"/>
        <v>2.4071703062753804</v>
      </c>
      <c r="H15" s="67">
        <f t="shared" si="0"/>
        <v>1.2035851531376902</v>
      </c>
      <c r="K15" s="67">
        <f>Main!J15</f>
        <v>2.8492416</v>
      </c>
      <c r="L15" s="67">
        <f>Main!V15</f>
        <v>0.46264319999999992</v>
      </c>
      <c r="M15" s="67">
        <f t="shared" si="3"/>
        <v>2.3865984</v>
      </c>
      <c r="N15" s="67">
        <f t="shared" si="1"/>
        <v>1.1932992</v>
      </c>
      <c r="T15" s="211" t="s">
        <v>67</v>
      </c>
      <c r="U15" s="212" t="s">
        <v>67</v>
      </c>
      <c r="V15" s="239" t="s">
        <v>69</v>
      </c>
      <c r="W15" s="157" t="s">
        <v>68</v>
      </c>
      <c r="X15" s="157" t="s">
        <v>112</v>
      </c>
      <c r="Y15" s="157" t="s">
        <v>113</v>
      </c>
      <c r="Z15" s="157" t="s">
        <v>70</v>
      </c>
      <c r="AA15" s="157" t="str">
        <f>AA9</f>
        <v>Proportion of smallest stems</v>
      </c>
      <c r="AB15" s="212" t="s">
        <v>103</v>
      </c>
    </row>
    <row r="16" spans="1:29" ht="22">
      <c r="A16" s="68">
        <f>Main!A16</f>
        <v>111</v>
      </c>
      <c r="B16" s="67">
        <f>Main!C16</f>
        <v>2.9867660879834714</v>
      </c>
      <c r="C16" s="67">
        <f>Main!E16</f>
        <v>147</v>
      </c>
      <c r="E16" s="67">
        <f>Main!H16</f>
        <v>2.8298566572851023</v>
      </c>
      <c r="F16" s="67">
        <f>Main!R16</f>
        <v>0.42268635100972174</v>
      </c>
      <c r="G16" s="67">
        <f t="shared" si="2"/>
        <v>2.4071703062753804</v>
      </c>
      <c r="H16" s="67">
        <f t="shared" si="0"/>
        <v>1.2035851531376902</v>
      </c>
      <c r="K16" s="67">
        <f>Main!J16</f>
        <v>2.8492416</v>
      </c>
      <c r="L16" s="67">
        <f>Main!V16</f>
        <v>0.46264319999999992</v>
      </c>
      <c r="M16" s="67">
        <f t="shared" si="3"/>
        <v>2.3865984</v>
      </c>
      <c r="N16" s="67">
        <f t="shared" si="1"/>
        <v>1.1932992</v>
      </c>
      <c r="T16" s="213" t="s">
        <v>41</v>
      </c>
      <c r="U16" s="241" t="s">
        <v>41</v>
      </c>
      <c r="V16" s="240">
        <f>DSUM(L3:L79,1,T16:T17)</f>
        <v>26.299526399999994</v>
      </c>
      <c r="W16" s="108">
        <f>DCOUNT(L3:L79,1,U16:U17)</f>
        <v>12</v>
      </c>
      <c r="X16" s="108">
        <f>DMAX(L3:L79,1,T16:T17)</f>
        <v>1.1268288</v>
      </c>
      <c r="Y16" s="108">
        <f>DMIN(L3:L79,1,T16:T17)</f>
        <v>9.6479999999999996E-2</v>
      </c>
      <c r="Z16" s="108">
        <f>Y16+(X16-Y16)*AA16</f>
        <v>0.19951488000000001</v>
      </c>
      <c r="AA16" s="108">
        <f>AA10</f>
        <v>0.1</v>
      </c>
      <c r="AB16" s="214">
        <f>DAVERAGE(L3:L79,1,U16:U17)</f>
        <v>0.15462239999999997</v>
      </c>
    </row>
    <row r="17" spans="1:34" ht="20" thickBot="1">
      <c r="A17" s="68">
        <f>Main!A17</f>
        <v>41</v>
      </c>
      <c r="B17" s="67">
        <f>Main!C17</f>
        <v>2.8718904692148763</v>
      </c>
      <c r="C17" s="67">
        <f>Main!E17</f>
        <v>153.5</v>
      </c>
      <c r="E17" s="67">
        <f>Main!H17</f>
        <v>2.7348970000210642</v>
      </c>
      <c r="F17" s="67">
        <f>Main!R17</f>
        <v>0.40173281800714589</v>
      </c>
      <c r="G17" s="67">
        <f t="shared" si="2"/>
        <v>2.3331641820139182</v>
      </c>
      <c r="H17" s="67">
        <f t="shared" si="0"/>
        <v>1.1665820910069591</v>
      </c>
      <c r="K17" s="67">
        <f>Main!J17</f>
        <v>2.8034495999999995</v>
      </c>
      <c r="L17" s="67">
        <f>Main!V17</f>
        <v>0.44075520000000001</v>
      </c>
      <c r="M17" s="67">
        <f t="shared" si="3"/>
        <v>2.3626943999999996</v>
      </c>
      <c r="N17" s="67">
        <f t="shared" si="1"/>
        <v>1.1813471999999998</v>
      </c>
      <c r="T17" s="218"/>
      <c r="U17" s="242" t="str">
        <f>"&lt;"&amp;Z16</f>
        <v>&lt;0.19951488</v>
      </c>
      <c r="V17" s="89"/>
      <c r="W17" s="89"/>
      <c r="X17" s="89"/>
      <c r="Y17" s="89"/>
      <c r="Z17" s="89"/>
      <c r="AA17" s="89"/>
      <c r="AB17" s="90"/>
    </row>
    <row r="18" spans="1:34" ht="19">
      <c r="A18" s="68">
        <f>Main!A18</f>
        <v>55</v>
      </c>
      <c r="B18" s="67">
        <f>Main!C18</f>
        <v>2.9241066595642375</v>
      </c>
      <c r="C18" s="67">
        <f>Main!E18</f>
        <v>147</v>
      </c>
      <c r="E18" s="67">
        <f>Main!H18</f>
        <v>2.7123668875146949</v>
      </c>
      <c r="F18" s="67">
        <f>Main!R18</f>
        <v>0.39216191153721286</v>
      </c>
      <c r="G18" s="67">
        <f t="shared" si="2"/>
        <v>2.3202049759774819</v>
      </c>
      <c r="H18" s="67">
        <f t="shared" si="0"/>
        <v>1.1601024879887409</v>
      </c>
      <c r="K18" s="67">
        <f>Main!J18</f>
        <v>2.7817343999999999</v>
      </c>
      <c r="L18" s="67">
        <f>Main!V18</f>
        <v>0.43073279999999997</v>
      </c>
      <c r="M18" s="67">
        <f t="shared" si="3"/>
        <v>2.3510016</v>
      </c>
      <c r="N18" s="67">
        <f t="shared" si="1"/>
        <v>1.1755008</v>
      </c>
    </row>
    <row r="19" spans="1:34" ht="19">
      <c r="A19" s="68">
        <f>Main!A19</f>
        <v>73</v>
      </c>
      <c r="B19" s="67">
        <f>Main!C19</f>
        <v>2.9972093260533441</v>
      </c>
      <c r="C19" s="67">
        <f>Main!E19</f>
        <v>139.9</v>
      </c>
      <c r="E19" s="67">
        <f>Main!H19</f>
        <v>2.7086569139764913</v>
      </c>
      <c r="F19" s="67">
        <f>Main!R19</f>
        <v>0.38448520493187316</v>
      </c>
      <c r="G19" s="67">
        <f t="shared" si="2"/>
        <v>2.3241717090446183</v>
      </c>
      <c r="H19" s="67">
        <f t="shared" si="0"/>
        <v>1.1620858545223092</v>
      </c>
      <c r="K19" s="67">
        <f>Main!J19</f>
        <v>2.7976319999999997</v>
      </c>
      <c r="L19" s="67">
        <f>Main!V19</f>
        <v>0.42295680000000002</v>
      </c>
      <c r="M19" s="67">
        <f t="shared" si="3"/>
        <v>2.3746751999999995</v>
      </c>
      <c r="N19" s="67">
        <f t="shared" si="1"/>
        <v>1.1873375999999998</v>
      </c>
    </row>
    <row r="20" spans="1:34" ht="19">
      <c r="A20" s="68">
        <f>Main!A20</f>
        <v>25</v>
      </c>
      <c r="B20" s="67">
        <f>Main!C20</f>
        <v>2.9220847551671985</v>
      </c>
      <c r="C20" s="67">
        <f>Main!E20</f>
        <v>147</v>
      </c>
      <c r="E20" s="67">
        <f>Main!H20</f>
        <v>2.7086171949493911</v>
      </c>
      <c r="F20" s="67">
        <f>Main!R20</f>
        <v>0.39119599463486493</v>
      </c>
      <c r="G20" s="67">
        <f t="shared" si="2"/>
        <v>2.3174212003145263</v>
      </c>
      <c r="H20" s="67">
        <f t="shared" si="0"/>
        <v>1.1587106001572631</v>
      </c>
      <c r="K20" s="67">
        <f>Main!J20</f>
        <v>2.7817343999999999</v>
      </c>
      <c r="L20" s="67">
        <f>Main!V20</f>
        <v>0.43073279999999997</v>
      </c>
      <c r="M20" s="67">
        <f t="shared" si="3"/>
        <v>2.3510016</v>
      </c>
      <c r="N20" s="67">
        <f t="shared" si="1"/>
        <v>1.1755008</v>
      </c>
    </row>
    <row r="21" spans="1:34" ht="19">
      <c r="A21" s="68" t="str">
        <f>Main!A21</f>
        <v>Missing</v>
      </c>
      <c r="B21" s="67">
        <f>Main!C21</f>
        <v>2.8361410858975749</v>
      </c>
      <c r="C21" s="67">
        <f>Main!E21</f>
        <v>150.5</v>
      </c>
      <c r="E21" s="67">
        <f>Main!H21</f>
        <v>2.6138774992380762</v>
      </c>
      <c r="F21" s="67">
        <f>Main!R21</f>
        <v>0.36880170218773584</v>
      </c>
      <c r="G21" s="67">
        <f t="shared" si="2"/>
        <v>2.2450757970503403</v>
      </c>
      <c r="H21" s="67">
        <f t="shared" si="0"/>
        <v>1.1225378985251702</v>
      </c>
      <c r="K21" s="67">
        <f>Main!J21</f>
        <v>2.6927999999999996</v>
      </c>
      <c r="L21" s="67">
        <f>Main!V21</f>
        <v>0.40331519999999998</v>
      </c>
      <c r="M21" s="67">
        <f t="shared" si="3"/>
        <v>2.2894847999999994</v>
      </c>
      <c r="N21" s="67">
        <f t="shared" si="1"/>
        <v>1.1447423999999997</v>
      </c>
    </row>
    <row r="22" spans="1:34" ht="20" thickBot="1">
      <c r="A22" s="68" t="str">
        <f>Main!A22</f>
        <v>Missing</v>
      </c>
      <c r="B22" s="67">
        <f>Main!C22</f>
        <v>2.7987878027257707</v>
      </c>
      <c r="C22" s="67">
        <f>Main!E22</f>
        <v>150.69999999999999</v>
      </c>
      <c r="E22" s="67">
        <f>Main!H22</f>
        <v>2.5489428959304137</v>
      </c>
      <c r="F22" s="67">
        <f>Main!R22</f>
        <v>0.35222767013662598</v>
      </c>
      <c r="G22" s="67">
        <f t="shared" si="2"/>
        <v>2.1967152257937879</v>
      </c>
      <c r="H22" s="67">
        <f t="shared" si="0"/>
        <v>1.0983576128968939</v>
      </c>
      <c r="K22" s="67">
        <f>Main!J22</f>
        <v>2.6210304</v>
      </c>
      <c r="L22" s="67">
        <f>Main!V22</f>
        <v>0.38897280000000001</v>
      </c>
      <c r="M22" s="67">
        <f t="shared" si="3"/>
        <v>2.2320576000000001</v>
      </c>
      <c r="N22" s="67">
        <f t="shared" si="1"/>
        <v>1.1160288</v>
      </c>
    </row>
    <row r="23" spans="1:34" ht="22" thickBot="1">
      <c r="A23" s="68">
        <f>Main!A23</f>
        <v>31</v>
      </c>
      <c r="B23" s="67">
        <f>Main!C23</f>
        <v>2.7279157245950865</v>
      </c>
      <c r="C23" s="67">
        <f>Main!E23</f>
        <v>157.1</v>
      </c>
      <c r="E23" s="67">
        <f>Main!H23</f>
        <v>2.5267896042255344</v>
      </c>
      <c r="F23" s="67">
        <f>Main!R23</f>
        <v>0.34784626621870812</v>
      </c>
      <c r="G23" s="67">
        <f t="shared" si="2"/>
        <v>2.1789433380068264</v>
      </c>
      <c r="H23" s="67">
        <f t="shared" si="0"/>
        <v>1.0894716690034132</v>
      </c>
      <c r="K23" s="67">
        <f>Main!J23</f>
        <v>2.5952256</v>
      </c>
      <c r="L23" s="67">
        <f>Main!V23</f>
        <v>0.37825919999999996</v>
      </c>
      <c r="M23" s="67">
        <f t="shared" si="3"/>
        <v>2.2169664</v>
      </c>
      <c r="N23" s="67">
        <f t="shared" si="1"/>
        <v>1.1084832</v>
      </c>
      <c r="T23" s="274" t="s">
        <v>135</v>
      </c>
      <c r="U23" s="278"/>
      <c r="V23" s="278"/>
      <c r="W23" s="278"/>
      <c r="X23" s="278"/>
      <c r="Y23" s="278"/>
      <c r="Z23" s="278"/>
      <c r="AA23" s="278"/>
      <c r="AB23" s="278"/>
      <c r="AC23" s="278"/>
      <c r="AD23" s="279"/>
    </row>
    <row r="24" spans="1:34" ht="25" thickBot="1">
      <c r="A24" s="68">
        <f>Main!A24</f>
        <v>34</v>
      </c>
      <c r="B24" s="67">
        <f>Main!C24</f>
        <v>2.7374650211805998</v>
      </c>
      <c r="C24" s="67">
        <f>Main!E24</f>
        <v>154.6</v>
      </c>
      <c r="E24" s="67">
        <f>Main!H24</f>
        <v>2.5030885438996777</v>
      </c>
      <c r="F24" s="67">
        <f>Main!R24</f>
        <v>0.34145965308424303</v>
      </c>
      <c r="G24" s="67">
        <f t="shared" si="2"/>
        <v>2.1616288908154346</v>
      </c>
      <c r="H24" s="67">
        <f t="shared" si="0"/>
        <v>1.0808144454077173</v>
      </c>
      <c r="K24" s="67">
        <f>Main!J24</f>
        <v>2.5735680000000003</v>
      </c>
      <c r="L24" s="67">
        <f>Main!V24</f>
        <v>0.37203840000000005</v>
      </c>
      <c r="M24" s="67">
        <f t="shared" si="3"/>
        <v>2.2015296000000002</v>
      </c>
      <c r="N24" s="67">
        <f t="shared" si="1"/>
        <v>1.1007648000000001</v>
      </c>
      <c r="Q24" s="246"/>
      <c r="T24" s="161" t="s">
        <v>74</v>
      </c>
      <c r="U24" s="256">
        <v>104</v>
      </c>
      <c r="V24" s="139">
        <f>U24*76/44</f>
        <v>179.63636363636363</v>
      </c>
      <c r="W24" s="139" t="s">
        <v>73</v>
      </c>
      <c r="X24" s="162"/>
      <c r="Y24" s="162"/>
      <c r="Z24" s="140"/>
      <c r="AA24" s="139" t="s">
        <v>90</v>
      </c>
      <c r="AB24" s="219"/>
      <c r="AC24" s="219"/>
      <c r="AD24" s="220"/>
      <c r="AF24" s="99" t="s">
        <v>107</v>
      </c>
      <c r="AG24" s="244"/>
      <c r="AH24" s="138"/>
    </row>
    <row r="25" spans="1:34" ht="37" thickBot="1">
      <c r="A25" s="68">
        <f>Main!A25</f>
        <v>48</v>
      </c>
      <c r="B25" s="67">
        <f>Main!C25</f>
        <v>2.6734689458873033</v>
      </c>
      <c r="C25" s="67">
        <f>Main!E25</f>
        <v>161.9</v>
      </c>
      <c r="E25" s="67">
        <f>Main!H25</f>
        <v>2.502787358541374</v>
      </c>
      <c r="F25" s="67">
        <f>Main!R25</f>
        <v>0.34142256852844549</v>
      </c>
      <c r="G25" s="67">
        <f t="shared" si="2"/>
        <v>2.1613647900129287</v>
      </c>
      <c r="H25" s="67">
        <f t="shared" si="0"/>
        <v>1.0806823950064643</v>
      </c>
      <c r="K25" s="67">
        <f>Main!J25</f>
        <v>2.5567487999999998</v>
      </c>
      <c r="L25" s="67">
        <f>Main!V25</f>
        <v>0.37284479999999998</v>
      </c>
      <c r="M25" s="67">
        <f t="shared" si="3"/>
        <v>2.1839040000000001</v>
      </c>
      <c r="N25" s="67">
        <f t="shared" si="1"/>
        <v>1.091952</v>
      </c>
      <c r="T25" s="161" t="s">
        <v>74</v>
      </c>
      <c r="U25" s="257">
        <v>173</v>
      </c>
      <c r="V25" s="161">
        <f>U25*76/44</f>
        <v>298.81818181818181</v>
      </c>
      <c r="W25" s="139" t="s">
        <v>73</v>
      </c>
      <c r="X25" s="162"/>
      <c r="Y25" s="162"/>
      <c r="Z25" s="140"/>
      <c r="AA25" s="139" t="s">
        <v>91</v>
      </c>
      <c r="AB25" s="219"/>
      <c r="AC25" s="219"/>
      <c r="AD25" s="220"/>
      <c r="AF25" s="243" t="s">
        <v>104</v>
      </c>
      <c r="AG25" s="243" t="s">
        <v>105</v>
      </c>
      <c r="AH25" s="243" t="s">
        <v>106</v>
      </c>
    </row>
    <row r="26" spans="1:34" ht="25" thickBot="1">
      <c r="A26" s="68">
        <f>Main!A26</f>
        <v>68</v>
      </c>
      <c r="B26" s="67">
        <f>Main!C26</f>
        <v>2.8823337072847486</v>
      </c>
      <c r="C26" s="67">
        <f>Main!E26</f>
        <v>136.5</v>
      </c>
      <c r="E26" s="67">
        <f>Main!H26</f>
        <v>2.4425487835989652</v>
      </c>
      <c r="F26" s="67">
        <f>Main!R26</f>
        <v>0.31658059633201424</v>
      </c>
      <c r="G26" s="67">
        <f t="shared" si="2"/>
        <v>2.1259681872669511</v>
      </c>
      <c r="H26" s="67">
        <f t="shared" si="0"/>
        <v>1.0629840936334756</v>
      </c>
      <c r="K26" s="67">
        <f>Main!J26</f>
        <v>2.5175807999999997</v>
      </c>
      <c r="L26" s="67">
        <f>Main!V26</f>
        <v>0.35159039999999997</v>
      </c>
      <c r="M26" s="67">
        <f t="shared" si="3"/>
        <v>2.1659903999999996</v>
      </c>
      <c r="N26" s="67">
        <f t="shared" si="1"/>
        <v>1.0829951999999998</v>
      </c>
      <c r="T26" s="161" t="s">
        <v>74</v>
      </c>
      <c r="U26" s="257">
        <f>AH26</f>
        <v>153.63522041181079</v>
      </c>
      <c r="V26" s="161">
        <f>U26*76/44</f>
        <v>265.36992616585502</v>
      </c>
      <c r="W26" s="139" t="s">
        <v>73</v>
      </c>
      <c r="X26" s="162"/>
      <c r="Y26" s="162"/>
      <c r="Z26" s="140"/>
      <c r="AA26" s="139" t="s">
        <v>155</v>
      </c>
      <c r="AB26" s="219"/>
      <c r="AC26" s="219"/>
      <c r="AD26" s="220"/>
      <c r="AF26" s="256">
        <v>9.5</v>
      </c>
      <c r="AG26" s="160">
        <f>PI()*AF26^2</f>
        <v>283.5287369864788</v>
      </c>
      <c r="AH26" s="160">
        <f>43560/AG26</f>
        <v>153.63522041181079</v>
      </c>
    </row>
    <row r="27" spans="1:34" ht="22" thickBot="1">
      <c r="A27" s="68">
        <f>Main!A27</f>
        <v>37</v>
      </c>
      <c r="B27" s="67">
        <f>Main!C27</f>
        <v>2.6943554220270478</v>
      </c>
      <c r="C27" s="67">
        <f>Main!E27</f>
        <v>155.1</v>
      </c>
      <c r="E27" s="67">
        <f>Main!H27</f>
        <v>2.4328976576738275</v>
      </c>
      <c r="F27" s="67">
        <f>Main!R27</f>
        <v>0.32358535302120778</v>
      </c>
      <c r="G27" s="67">
        <f t="shared" si="2"/>
        <v>2.1093123046526197</v>
      </c>
      <c r="H27" s="67">
        <f t="shared" si="0"/>
        <v>1.0546561523263098</v>
      </c>
      <c r="K27" s="67">
        <f>Main!J27</f>
        <v>2.4884927999999995</v>
      </c>
      <c r="L27" s="67">
        <f>Main!V27</f>
        <v>0.35412480000000002</v>
      </c>
      <c r="M27" s="67">
        <f t="shared" si="3"/>
        <v>2.1343679999999994</v>
      </c>
      <c r="N27" s="67">
        <f t="shared" si="1"/>
        <v>1.0671839999999997</v>
      </c>
      <c r="T27" s="161" t="s">
        <v>121</v>
      </c>
      <c r="U27" s="147">
        <f>AVERAGE(U24:U26)</f>
        <v>143.5450734706036</v>
      </c>
      <c r="V27" s="147">
        <f>AVERAGE(V24:V26)</f>
        <v>247.94149054013349</v>
      </c>
    </row>
    <row r="28" spans="1:34" ht="20" thickBot="1">
      <c r="A28" s="68">
        <f>Main!A28</f>
        <v>35</v>
      </c>
      <c r="B28" s="67">
        <f>Main!C28</f>
        <v>2.6929016371148693</v>
      </c>
      <c r="C28" s="67">
        <f>Main!E28</f>
        <v>153.80000000000001</v>
      </c>
      <c r="E28" s="67">
        <f>Main!H28</f>
        <v>2.4094288286721866</v>
      </c>
      <c r="F28" s="67">
        <f>Main!R28</f>
        <v>0.31754382174498808</v>
      </c>
      <c r="G28" s="67">
        <f t="shared" si="2"/>
        <v>2.0918850069271984</v>
      </c>
      <c r="H28" s="67">
        <f t="shared" si="0"/>
        <v>1.0459425034635992</v>
      </c>
      <c r="K28" s="67">
        <f>Main!J28</f>
        <v>2.4681599999999997</v>
      </c>
      <c r="L28" s="67">
        <f>Main!V28</f>
        <v>0.34847999999999996</v>
      </c>
      <c r="M28" s="67">
        <f t="shared" si="3"/>
        <v>2.1196799999999998</v>
      </c>
      <c r="N28" s="67">
        <f t="shared" si="1"/>
        <v>1.0598399999999999</v>
      </c>
    </row>
    <row r="29" spans="1:34" ht="20" thickBot="1">
      <c r="A29" s="68">
        <f>Main!A29</f>
        <v>71</v>
      </c>
      <c r="B29" s="67">
        <f>Main!C29</f>
        <v>2.7152418981667923</v>
      </c>
      <c r="C29" s="67">
        <f>Main!E29</f>
        <v>147</v>
      </c>
      <c r="E29" s="67">
        <f>Main!H29</f>
        <v>2.3387245101529772</v>
      </c>
      <c r="F29" s="67">
        <f>Main!R29</f>
        <v>0.29867495715135733</v>
      </c>
      <c r="G29" s="67">
        <f t="shared" si="2"/>
        <v>2.0400495530016198</v>
      </c>
      <c r="H29" s="67">
        <f t="shared" si="0"/>
        <v>1.0200247765008099</v>
      </c>
      <c r="I29" s="158"/>
      <c r="K29" s="67">
        <f>Main!J29</f>
        <v>2.4144191999999998</v>
      </c>
      <c r="L29" s="67">
        <f>Main!V29</f>
        <v>0.32808959999999998</v>
      </c>
      <c r="M29" s="67">
        <f t="shared" si="3"/>
        <v>2.0863296</v>
      </c>
      <c r="N29" s="67">
        <f t="shared" si="1"/>
        <v>1.0431648</v>
      </c>
      <c r="U29" s="155" t="s">
        <v>65</v>
      </c>
      <c r="V29" s="156" t="s">
        <v>66</v>
      </c>
    </row>
    <row r="30" spans="1:34" ht="20" thickBot="1">
      <c r="A30" s="68" t="str">
        <f>Main!A30</f>
        <v>Missing</v>
      </c>
      <c r="B30" s="67">
        <f>Main!C30</f>
        <v>2.7374650211805998</v>
      </c>
      <c r="C30" s="67">
        <f>Main!E30</f>
        <v>144.5</v>
      </c>
      <c r="E30" s="67">
        <f>Main!H30</f>
        <v>2.3357416460772438</v>
      </c>
      <c r="F30" s="67">
        <f>Main!R30</f>
        <v>0.29701709514415464</v>
      </c>
      <c r="G30" s="67">
        <f t="shared" si="2"/>
        <v>2.0387245509330891</v>
      </c>
      <c r="H30" s="67">
        <f t="shared" si="0"/>
        <v>1.0193622754665446</v>
      </c>
      <c r="K30" s="67">
        <f>Main!J30</f>
        <v>2.3527872000000003</v>
      </c>
      <c r="L30" s="67">
        <f>Main!V30</f>
        <v>0.32578560000000001</v>
      </c>
      <c r="M30" s="67">
        <f t="shared" si="3"/>
        <v>2.0270016000000002</v>
      </c>
      <c r="N30" s="67">
        <f t="shared" si="1"/>
        <v>1.0135008000000001</v>
      </c>
      <c r="R30" s="151" t="s">
        <v>64</v>
      </c>
      <c r="S30" s="152"/>
      <c r="T30" s="153"/>
      <c r="U30" s="154">
        <f>ROW(A4)</f>
        <v>4</v>
      </c>
      <c r="V30" s="154">
        <f>ROW(A79)</f>
        <v>79</v>
      </c>
    </row>
    <row r="31" spans="1:34" ht="20" thickBot="1">
      <c r="A31" s="68">
        <f>Main!A31</f>
        <v>95</v>
      </c>
      <c r="B31" s="67">
        <f>Main!C31</f>
        <v>2.7056340325622208</v>
      </c>
      <c r="C31" s="67">
        <f>Main!E31</f>
        <v>142.80000000000001</v>
      </c>
      <c r="E31" s="67">
        <f>Main!H31</f>
        <v>2.2542218297804495</v>
      </c>
      <c r="F31" s="67">
        <f>Main!R31</f>
        <v>0.2769994694089325</v>
      </c>
      <c r="G31" s="67">
        <f t="shared" si="2"/>
        <v>1.9772223603715169</v>
      </c>
      <c r="H31" s="67">
        <f t="shared" si="0"/>
        <v>0.98861118018575844</v>
      </c>
      <c r="K31" s="67">
        <f>Main!J31</f>
        <v>2.3298624000000001</v>
      </c>
      <c r="L31" s="67">
        <f>Main!V31</f>
        <v>0.30504959999999998</v>
      </c>
      <c r="M31" s="67">
        <f t="shared" si="3"/>
        <v>2.0248128000000003</v>
      </c>
      <c r="N31" s="67">
        <f t="shared" si="1"/>
        <v>1.0124064000000002</v>
      </c>
    </row>
    <row r="32" spans="1:34" ht="22" thickBot="1">
      <c r="A32" s="68">
        <f>Main!A32</f>
        <v>49</v>
      </c>
      <c r="B32" s="67">
        <f>Main!C32</f>
        <v>2.6005917701215697</v>
      </c>
      <c r="C32" s="67">
        <f>Main!E32</f>
        <v>154.19999999999999</v>
      </c>
      <c r="E32" s="67">
        <f>Main!H32</f>
        <v>2.2530560019472898</v>
      </c>
      <c r="F32" s="67">
        <f>Main!R32</f>
        <v>0.27875937007881524</v>
      </c>
      <c r="G32" s="67">
        <f t="shared" si="2"/>
        <v>1.9742966318684747</v>
      </c>
      <c r="H32" s="67">
        <f t="shared" si="0"/>
        <v>0.98714831593423735</v>
      </c>
      <c r="K32" s="67">
        <f>Main!J32</f>
        <v>2.3119487999999997</v>
      </c>
      <c r="L32" s="67">
        <f>Main!V32</f>
        <v>0.30723840000000002</v>
      </c>
      <c r="M32" s="67">
        <f t="shared" si="3"/>
        <v>2.0047103999999996</v>
      </c>
      <c r="N32" s="67">
        <f t="shared" si="1"/>
        <v>1.0023551999999998</v>
      </c>
      <c r="R32" s="284" t="s">
        <v>136</v>
      </c>
      <c r="S32" s="278"/>
      <c r="T32" s="278"/>
      <c r="U32" s="278"/>
      <c r="V32" s="278"/>
      <c r="W32" s="278"/>
      <c r="X32" s="278"/>
      <c r="Y32" s="278"/>
      <c r="Z32" s="278"/>
      <c r="AA32" s="278"/>
      <c r="AB32" s="279"/>
    </row>
    <row r="33" spans="1:28" ht="20" thickBot="1">
      <c r="A33" s="68">
        <f>Main!A33</f>
        <v>66</v>
      </c>
      <c r="B33" s="67">
        <f>Main!C33</f>
        <v>2.6515213519109766</v>
      </c>
      <c r="C33" s="67">
        <f>Main!E33</f>
        <v>147</v>
      </c>
      <c r="E33" s="67">
        <f>Main!H33</f>
        <v>2.2302434448125821</v>
      </c>
      <c r="F33" s="67">
        <f>Main!R33</f>
        <v>0.27268409185781445</v>
      </c>
      <c r="G33" s="67">
        <f t="shared" si="2"/>
        <v>1.9575593529547677</v>
      </c>
      <c r="H33" s="67">
        <f t="shared" si="0"/>
        <v>0.97877967647738384</v>
      </c>
      <c r="K33" s="67">
        <f>Main!J33</f>
        <v>2.2919616</v>
      </c>
      <c r="L33" s="67">
        <f>Main!V33</f>
        <v>0.30130560000000001</v>
      </c>
      <c r="M33" s="67">
        <f t="shared" si="3"/>
        <v>1.990656</v>
      </c>
      <c r="N33" s="67">
        <f t="shared" si="1"/>
        <v>0.99532799999999999</v>
      </c>
      <c r="R33" s="205" t="s">
        <v>56</v>
      </c>
      <c r="S33" s="280"/>
      <c r="T33" s="280"/>
      <c r="U33" s="75"/>
      <c r="V33" s="75" t="s">
        <v>62</v>
      </c>
      <c r="X33" s="281" t="s">
        <v>58</v>
      </c>
      <c r="Y33" s="282"/>
      <c r="Z33" s="282"/>
      <c r="AA33" s="283"/>
      <c r="AB33" s="75" t="s">
        <v>62</v>
      </c>
    </row>
    <row r="34" spans="1:28" ht="52">
      <c r="A34" s="68">
        <f>Main!A34</f>
        <v>36</v>
      </c>
      <c r="B34" s="67">
        <f>Main!C34</f>
        <v>2.6108095174680694</v>
      </c>
      <c r="C34" s="67">
        <f>Main!E34</f>
        <v>149.5</v>
      </c>
      <c r="E34" s="67">
        <f>Main!H34</f>
        <v>2.1999604218465363</v>
      </c>
      <c r="F34" s="67">
        <f>Main!R34</f>
        <v>0.2658653131400362</v>
      </c>
      <c r="G34" s="67">
        <f t="shared" si="2"/>
        <v>1.9340951087065001</v>
      </c>
      <c r="H34" s="67">
        <f t="shared" si="0"/>
        <v>0.96704755435325007</v>
      </c>
      <c r="K34" s="67">
        <f>Main!J34</f>
        <v>2.2603391999999998</v>
      </c>
      <c r="L34" s="67">
        <f>Main!V34</f>
        <v>0.29375999999999997</v>
      </c>
      <c r="M34" s="67">
        <f t="shared" si="3"/>
        <v>1.9665791999999997</v>
      </c>
      <c r="N34" s="67">
        <f t="shared" si="1"/>
        <v>0.98328959999999987</v>
      </c>
      <c r="R34" s="114"/>
      <c r="S34" s="144" t="s">
        <v>110</v>
      </c>
      <c r="T34" s="144" t="s">
        <v>71</v>
      </c>
      <c r="U34" s="141" t="s">
        <v>61</v>
      </c>
      <c r="V34" s="142" t="s">
        <v>60</v>
      </c>
      <c r="X34" s="122"/>
      <c r="Y34" s="144" t="s">
        <v>59</v>
      </c>
      <c r="Z34" s="144" t="s">
        <v>72</v>
      </c>
      <c r="AA34" s="141" t="s">
        <v>61</v>
      </c>
      <c r="AB34" s="142" t="s">
        <v>60</v>
      </c>
    </row>
    <row r="35" spans="1:28" ht="26">
      <c r="A35" s="68">
        <f>Main!A35</f>
        <v>79</v>
      </c>
      <c r="B35" s="67">
        <f>Main!C35</f>
        <v>2.6292396598781109</v>
      </c>
      <c r="C35" s="67">
        <f>Main!E35</f>
        <v>147.4</v>
      </c>
      <c r="E35" s="67">
        <f>Main!H35</f>
        <v>2.1990317697674548</v>
      </c>
      <c r="F35" s="67">
        <f>Main!R35</f>
        <v>0.26538264895616792</v>
      </c>
      <c r="G35" s="67">
        <f t="shared" si="2"/>
        <v>1.9336491208112869</v>
      </c>
      <c r="H35" s="67">
        <f t="shared" si="0"/>
        <v>0.96682456040564346</v>
      </c>
      <c r="K35" s="67">
        <f>Main!J35</f>
        <v>2.2635648000000002</v>
      </c>
      <c r="L35" s="67">
        <f>Main!V35</f>
        <v>0.2942208</v>
      </c>
      <c r="M35" s="67">
        <f t="shared" si="3"/>
        <v>1.9693440000000002</v>
      </c>
      <c r="N35" s="67">
        <f t="shared" si="1"/>
        <v>0.9846720000000001</v>
      </c>
      <c r="R35" s="236" t="str">
        <f>+"Smallest "&amp;AA10</f>
        <v>Smallest 0.1</v>
      </c>
      <c r="S35" s="245">
        <f>AB10</f>
        <v>0.1355374076733124</v>
      </c>
      <c r="T35" s="108">
        <f>W10</f>
        <v>11</v>
      </c>
      <c r="U35" s="238">
        <f>(V26+V25+V24)/3</f>
        <v>247.94149054013349</v>
      </c>
      <c r="V35" s="238">
        <f>S36+(U35-T36)*(S35)</f>
        <v>47.177475654554122</v>
      </c>
      <c r="X35" s="123" t="str">
        <f>R35</f>
        <v>Smallest 0.1</v>
      </c>
      <c r="Y35" s="107">
        <f>AB16</f>
        <v>0.15462239999999997</v>
      </c>
      <c r="Z35" s="124">
        <f>W16</f>
        <v>12</v>
      </c>
      <c r="AA35" s="238">
        <f>U35</f>
        <v>247.94149054013349</v>
      </c>
      <c r="AB35" s="238">
        <f>Y36+(AA35-Z36)*(Y35)</f>
        <v>52.885532326892729</v>
      </c>
    </row>
    <row r="36" spans="1:28" ht="20" thickBot="1">
      <c r="A36" s="68">
        <f>Main!A36</f>
        <v>50</v>
      </c>
      <c r="B36" s="67">
        <f>Main!C36</f>
        <v>2.6316959936078144</v>
      </c>
      <c r="C36" s="67">
        <f>Main!E36</f>
        <v>147</v>
      </c>
      <c r="E36" s="67">
        <f>Main!H36</f>
        <v>2.1970171788869028</v>
      </c>
      <c r="F36" s="67">
        <f>Main!R36</f>
        <v>0.26483883634004385</v>
      </c>
      <c r="G36" s="67">
        <f t="shared" si="2"/>
        <v>1.9321783425468591</v>
      </c>
      <c r="H36" s="67">
        <f t="shared" si="0"/>
        <v>0.96608917127342953</v>
      </c>
      <c r="K36" s="67">
        <f>Main!J36</f>
        <v>2.2575743999999998</v>
      </c>
      <c r="L36" s="67">
        <f>Main!V36</f>
        <v>0.29260799999999992</v>
      </c>
      <c r="M36" s="67">
        <f t="shared" si="3"/>
        <v>1.9649663999999998</v>
      </c>
      <c r="N36" s="67">
        <f t="shared" si="1"/>
        <v>0.98248319999999989</v>
      </c>
      <c r="R36" s="237" t="s">
        <v>53</v>
      </c>
      <c r="S36" s="107">
        <f>F80</f>
        <v>23.872971755259062</v>
      </c>
      <c r="T36" s="108">
        <f>F85</f>
        <v>76</v>
      </c>
      <c r="U36" s="108"/>
      <c r="V36" s="115"/>
      <c r="X36" s="126" t="s">
        <v>53</v>
      </c>
      <c r="Y36" s="107">
        <f>L80</f>
        <v>26.299526399999994</v>
      </c>
      <c r="Z36" s="124">
        <f>T36</f>
        <v>76</v>
      </c>
      <c r="AA36" s="124"/>
      <c r="AB36" s="125"/>
    </row>
    <row r="37" spans="1:28" ht="20" thickBot="1">
      <c r="A37" s="68">
        <f>Main!A37</f>
        <v>56</v>
      </c>
      <c r="B37" s="67">
        <f>Main!C37</f>
        <v>2.6316959936078144</v>
      </c>
      <c r="C37" s="67">
        <f>Main!E37</f>
        <v>147</v>
      </c>
      <c r="E37" s="67">
        <f>Main!H37</f>
        <v>2.1970171788869028</v>
      </c>
      <c r="F37" s="67">
        <f>Main!R37</f>
        <v>0.26483883634004385</v>
      </c>
      <c r="G37" s="67">
        <f t="shared" si="2"/>
        <v>1.9321783425468591</v>
      </c>
      <c r="H37" s="67">
        <f t="shared" si="0"/>
        <v>0.96608917127342953</v>
      </c>
      <c r="K37" s="67">
        <f>Main!J37</f>
        <v>2.2575743999999998</v>
      </c>
      <c r="L37" s="67">
        <f>Main!V37</f>
        <v>0.29260799999999992</v>
      </c>
      <c r="M37" s="67">
        <f t="shared" si="3"/>
        <v>1.9649663999999998</v>
      </c>
      <c r="N37" s="67">
        <f t="shared" si="1"/>
        <v>0.98248319999999989</v>
      </c>
      <c r="R37" s="30" t="s">
        <v>57</v>
      </c>
      <c r="S37" s="86"/>
      <c r="T37" s="86"/>
      <c r="U37" s="86"/>
      <c r="V37" s="87"/>
      <c r="X37" s="127" t="s">
        <v>57</v>
      </c>
      <c r="Y37" s="128"/>
      <c r="Z37" s="128"/>
      <c r="AA37" s="128"/>
      <c r="AB37" s="129"/>
    </row>
    <row r="38" spans="1:28" ht="35">
      <c r="A38" s="68">
        <f>Main!A38</f>
        <v>50</v>
      </c>
      <c r="B38" s="67">
        <f>Main!C38</f>
        <v>2.5783100780887045</v>
      </c>
      <c r="C38" s="67">
        <f>Main!E38</f>
        <v>153</v>
      </c>
      <c r="E38" s="67">
        <f>Main!H38</f>
        <v>2.1969752845307022</v>
      </c>
      <c r="F38" s="67">
        <f>Main!R38</f>
        <v>0.26522088968728369</v>
      </c>
      <c r="G38" s="67">
        <f t="shared" si="2"/>
        <v>1.9317543948434186</v>
      </c>
      <c r="H38" s="67">
        <f t="shared" si="0"/>
        <v>0.9658771974217093</v>
      </c>
      <c r="K38" s="67">
        <f>Main!J38</f>
        <v>2.2593024000000002</v>
      </c>
      <c r="L38" s="67">
        <f>Main!V38</f>
        <v>0.28920959999999996</v>
      </c>
      <c r="M38" s="67">
        <f t="shared" si="3"/>
        <v>1.9700928000000002</v>
      </c>
      <c r="N38" s="67">
        <f t="shared" si="1"/>
        <v>0.9850464000000001</v>
      </c>
      <c r="R38" s="121"/>
      <c r="S38" s="109" t="s">
        <v>55</v>
      </c>
      <c r="T38" s="109" t="s">
        <v>52</v>
      </c>
      <c r="U38" s="110" t="s">
        <v>54</v>
      </c>
      <c r="V38" s="143" t="s">
        <v>60</v>
      </c>
      <c r="X38" s="130"/>
      <c r="Y38" s="131" t="s">
        <v>55</v>
      </c>
      <c r="Z38" s="131" t="s">
        <v>52</v>
      </c>
      <c r="AA38" s="132" t="s">
        <v>54</v>
      </c>
      <c r="AB38" s="143" t="s">
        <v>60</v>
      </c>
    </row>
    <row r="39" spans="1:28" ht="19">
      <c r="A39" s="68">
        <f>Main!A39</f>
        <v>74</v>
      </c>
      <c r="B39" s="67">
        <f>Main!C39</f>
        <v>2.6324227587399487</v>
      </c>
      <c r="C39" s="67">
        <f>Main!E39</f>
        <v>145</v>
      </c>
      <c r="E39" s="67">
        <f>Main!H39</f>
        <v>2.1675871524969383</v>
      </c>
      <c r="F39" s="67">
        <f>Main!R39</f>
        <v>0.25754942552284155</v>
      </c>
      <c r="G39" s="67">
        <f t="shared" si="2"/>
        <v>1.9100377269740969</v>
      </c>
      <c r="H39" s="67">
        <f t="shared" si="0"/>
        <v>0.95501886348704845</v>
      </c>
      <c r="K39" s="67">
        <f>Main!J39</f>
        <v>2.2276223999999996</v>
      </c>
      <c r="L39" s="67">
        <f>Main!V39</f>
        <v>0.2846592</v>
      </c>
      <c r="M39" s="67">
        <f t="shared" si="3"/>
        <v>1.9429631999999994</v>
      </c>
      <c r="N39" s="67">
        <f t="shared" si="1"/>
        <v>0.97148159999999972</v>
      </c>
      <c r="R39" s="116" t="str">
        <f>R35</f>
        <v>Smallest 0.1</v>
      </c>
      <c r="S39" s="111">
        <f>S35*E92</f>
        <v>0.12295872963196264</v>
      </c>
      <c r="T39" s="112">
        <f>T35</f>
        <v>11</v>
      </c>
      <c r="U39" s="112">
        <f>U35</f>
        <v>247.94149054013349</v>
      </c>
      <c r="V39" s="117">
        <f>V35*E92</f>
        <v>42.799125151550513</v>
      </c>
      <c r="X39" s="133" t="str">
        <f>R39</f>
        <v>Smallest 0.1</v>
      </c>
      <c r="Y39" s="111">
        <f>Y35*K92</f>
        <v>0.14027252109226163</v>
      </c>
      <c r="Z39" s="134">
        <f>Z35</f>
        <v>12</v>
      </c>
      <c r="AA39" s="134">
        <f>U35</f>
        <v>247.94149054013349</v>
      </c>
      <c r="AB39" s="117">
        <f>AB35*K92</f>
        <v>47.977440194949409</v>
      </c>
    </row>
    <row r="40" spans="1:28" ht="20" thickBot="1">
      <c r="A40" s="68">
        <f>Main!A40</f>
        <v>70</v>
      </c>
      <c r="B40" s="67">
        <f>Main!C40</f>
        <v>2.5464790894703255</v>
      </c>
      <c r="C40" s="67">
        <f>Main!E40</f>
        <v>153.5</v>
      </c>
      <c r="E40" s="67">
        <f>Main!H40</f>
        <v>2.150232682865842</v>
      </c>
      <c r="F40" s="67">
        <f>Main!R40</f>
        <v>0.25400283632542042</v>
      </c>
      <c r="G40" s="67">
        <f t="shared" si="2"/>
        <v>1.8962298465404217</v>
      </c>
      <c r="H40" s="67">
        <f t="shared" si="0"/>
        <v>0.94811492327021085</v>
      </c>
      <c r="K40" s="67">
        <f>Main!J40</f>
        <v>2.2142591999999999</v>
      </c>
      <c r="L40" s="67">
        <f>Main!V40</f>
        <v>0.27774719999999997</v>
      </c>
      <c r="M40" s="67">
        <f t="shared" si="3"/>
        <v>1.936512</v>
      </c>
      <c r="N40" s="67">
        <f t="shared" si="1"/>
        <v>0.96825600000000001</v>
      </c>
      <c r="R40" s="118" t="s">
        <v>53</v>
      </c>
      <c r="S40" s="119">
        <f>F81</f>
        <v>21.657417903709575</v>
      </c>
      <c r="T40" s="120">
        <f>T36</f>
        <v>76</v>
      </c>
      <c r="U40" s="120"/>
      <c r="V40" s="120"/>
      <c r="X40" s="135" t="s">
        <v>53</v>
      </c>
      <c r="Y40" s="119">
        <f>L81</f>
        <v>23.858773836523628</v>
      </c>
      <c r="Z40" s="136">
        <f>T36</f>
        <v>76</v>
      </c>
      <c r="AA40" s="136"/>
      <c r="AB40" s="136"/>
    </row>
    <row r="41" spans="1:28" ht="19">
      <c r="A41" s="68">
        <f>Main!A41</f>
        <v>29</v>
      </c>
      <c r="B41" s="67">
        <f>Main!C41</f>
        <v>2.6003662793981976</v>
      </c>
      <c r="C41" s="67">
        <f>Main!E41</f>
        <v>147</v>
      </c>
      <c r="E41" s="67">
        <f>Main!H41</f>
        <v>2.1450186147040649</v>
      </c>
      <c r="F41" s="67">
        <f>Main!R41</f>
        <v>0.25267455804972966</v>
      </c>
      <c r="G41" s="67">
        <f t="shared" si="2"/>
        <v>1.8923440566543352</v>
      </c>
      <c r="H41" s="67">
        <f t="shared" si="0"/>
        <v>0.94617202832716762</v>
      </c>
      <c r="K41" s="67">
        <f>Main!J41</f>
        <v>2.2064832000000001</v>
      </c>
      <c r="L41" s="67">
        <f>Main!V41</f>
        <v>0.27987839999999997</v>
      </c>
      <c r="M41" s="67">
        <f t="shared" si="3"/>
        <v>1.9266048000000002</v>
      </c>
      <c r="N41" s="67">
        <f t="shared" si="1"/>
        <v>0.96330240000000011</v>
      </c>
    </row>
    <row r="42" spans="1:28" ht="20" thickBot="1">
      <c r="A42" s="68">
        <f>Main!A42</f>
        <v>51</v>
      </c>
      <c r="B42" s="67">
        <f>Main!C42</f>
        <v>2.6421392316776862</v>
      </c>
      <c r="C42" s="67">
        <f>Main!E42</f>
        <v>139.19999999999999</v>
      </c>
      <c r="E42" s="67">
        <f>Main!H42</f>
        <v>2.0940943383150574</v>
      </c>
      <c r="F42" s="67">
        <f>Main!R42</f>
        <v>0.23898763303500944</v>
      </c>
      <c r="G42" s="67">
        <f t="shared" si="2"/>
        <v>1.8551067052800481</v>
      </c>
      <c r="H42" s="67">
        <f t="shared" si="0"/>
        <v>0.92755335264002403</v>
      </c>
      <c r="K42" s="67">
        <f>Main!J42</f>
        <v>2.1569472000000003</v>
      </c>
      <c r="L42" s="67">
        <f>Main!V42</f>
        <v>0.2654784</v>
      </c>
      <c r="M42" s="67">
        <f t="shared" si="3"/>
        <v>1.8914688000000002</v>
      </c>
      <c r="N42" s="67">
        <f t="shared" si="1"/>
        <v>0.94573440000000009</v>
      </c>
    </row>
    <row r="43" spans="1:28" ht="25" thickBot="1">
      <c r="A43" s="68">
        <f>Main!A43</f>
        <v>28</v>
      </c>
      <c r="B43" s="67">
        <f>Main!C43</f>
        <v>2.4959338986994748</v>
      </c>
      <c r="C43" s="67">
        <f>Main!E43</f>
        <v>147</v>
      </c>
      <c r="E43" s="67">
        <f>Main!H43</f>
        <v>1.9761876145628432</v>
      </c>
      <c r="F43" s="67">
        <f>Main!R43</f>
        <v>0.28385591203416954</v>
      </c>
      <c r="G43" s="67">
        <f t="shared" si="2"/>
        <v>1.6923317025286737</v>
      </c>
      <c r="H43" s="67">
        <f t="shared" si="0"/>
        <v>0.84616585126433685</v>
      </c>
      <c r="K43" s="67">
        <f>Main!J43</f>
        <v>2.0404223999999997</v>
      </c>
      <c r="L43" s="67">
        <f>Main!V43</f>
        <v>0.31455359999999993</v>
      </c>
      <c r="M43" s="67">
        <f t="shared" si="3"/>
        <v>1.7258687999999998</v>
      </c>
      <c r="N43" s="67">
        <f t="shared" si="1"/>
        <v>0.86293439999999988</v>
      </c>
      <c r="P43" s="248" t="s">
        <v>116</v>
      </c>
      <c r="Q43" s="249"/>
      <c r="R43" s="250"/>
      <c r="S43" s="221" t="s">
        <v>119</v>
      </c>
      <c r="T43" s="222"/>
      <c r="U43" s="255"/>
      <c r="V43" s="140"/>
      <c r="W43" s="248" t="s">
        <v>117</v>
      </c>
      <c r="X43" s="249"/>
      <c r="Y43" s="250"/>
      <c r="Z43" s="221" t="s">
        <v>119</v>
      </c>
      <c r="AA43" s="222"/>
    </row>
    <row r="44" spans="1:28" ht="22" thickBot="1">
      <c r="A44" s="68">
        <f>Main!A44</f>
        <v>44</v>
      </c>
      <c r="B44" s="67">
        <f>Main!C44</f>
        <v>2.4019447560706237</v>
      </c>
      <c r="C44" s="67">
        <f>Main!E44</f>
        <v>156.30000000000001</v>
      </c>
      <c r="E44" s="67">
        <f>Main!H44</f>
        <v>1.9487894289257763</v>
      </c>
      <c r="F44" s="67">
        <f>Main!R44</f>
        <v>0.27972320600377509</v>
      </c>
      <c r="G44" s="67">
        <f t="shared" si="2"/>
        <v>1.6690662229220012</v>
      </c>
      <c r="H44" s="67">
        <f t="shared" si="0"/>
        <v>0.83453311146100062</v>
      </c>
      <c r="K44" s="67">
        <f>Main!J44</f>
        <v>1.9969919999999997</v>
      </c>
      <c r="L44" s="67">
        <f>Main!V44</f>
        <v>0.30579840000000003</v>
      </c>
      <c r="M44" s="67">
        <f t="shared" si="3"/>
        <v>1.6911935999999996</v>
      </c>
      <c r="N44" s="67">
        <f t="shared" si="1"/>
        <v>0.84559679999999982</v>
      </c>
      <c r="P44" s="247"/>
      <c r="Q44" s="164"/>
      <c r="R44" s="163" t="s">
        <v>114</v>
      </c>
      <c r="S44" s="113"/>
      <c r="T44" s="146"/>
      <c r="U44" s="85"/>
      <c r="V44" s="84"/>
      <c r="W44" s="164"/>
      <c r="X44" s="163" t="s">
        <v>115</v>
      </c>
      <c r="Y44" s="113"/>
      <c r="Z44" s="146"/>
      <c r="AA44" s="85"/>
    </row>
    <row r="45" spans="1:28" ht="20" thickBot="1">
      <c r="A45" s="68">
        <f>Main!A45</f>
        <v>72</v>
      </c>
      <c r="B45" s="67">
        <f>Main!C45</f>
        <v>2.4669016179243779</v>
      </c>
      <c r="C45" s="67">
        <f>Main!E45</f>
        <v>147</v>
      </c>
      <c r="E45" s="67">
        <f>Main!H45</f>
        <v>1.9304816318468185</v>
      </c>
      <c r="F45" s="67">
        <f>Main!R45</f>
        <v>0.27217156567995937</v>
      </c>
      <c r="G45" s="67">
        <f t="shared" si="2"/>
        <v>1.6583100661668593</v>
      </c>
      <c r="H45" s="67">
        <f t="shared" si="0"/>
        <v>0.82915503308342964</v>
      </c>
      <c r="K45" s="67">
        <f>Main!J45</f>
        <v>1.9918656000000001</v>
      </c>
      <c r="L45" s="67">
        <f>Main!V45</f>
        <v>0.30130560000000001</v>
      </c>
      <c r="M45" s="67">
        <f t="shared" si="3"/>
        <v>1.6905600000000001</v>
      </c>
      <c r="N45" s="67">
        <f t="shared" si="1"/>
        <v>0.84528000000000003</v>
      </c>
      <c r="P45" s="217"/>
      <c r="Q45" s="165"/>
      <c r="R45" s="86"/>
      <c r="S45" s="86"/>
      <c r="T45" s="86"/>
      <c r="U45" s="87"/>
      <c r="V45" s="86"/>
      <c r="W45" s="165"/>
      <c r="X45" s="86"/>
      <c r="Y45" s="86"/>
      <c r="Z45" s="86"/>
      <c r="AA45" s="87"/>
    </row>
    <row r="46" spans="1:28" ht="22" thickBot="1">
      <c r="A46" s="68">
        <f>Main!A46</f>
        <v>85</v>
      </c>
      <c r="B46" s="67">
        <f>Main!C46</f>
        <v>2.4191551349968092</v>
      </c>
      <c r="C46" s="67">
        <f>Main!E46</f>
        <v>150.4</v>
      </c>
      <c r="E46" s="67">
        <f>Main!H46</f>
        <v>1.9004717076791287</v>
      </c>
      <c r="F46" s="67">
        <f>Main!R46</f>
        <v>0.26580185107714105</v>
      </c>
      <c r="G46" s="67">
        <f t="shared" si="2"/>
        <v>1.6346698566019877</v>
      </c>
      <c r="H46" s="67">
        <f t="shared" si="0"/>
        <v>0.81733492830099386</v>
      </c>
      <c r="K46" s="67">
        <f>Main!J46</f>
        <v>1.9554047999999999</v>
      </c>
      <c r="L46" s="67">
        <f>Main!V46</f>
        <v>0.29278080000000001</v>
      </c>
      <c r="M46" s="67">
        <f t="shared" si="3"/>
        <v>1.6626239999999999</v>
      </c>
      <c r="N46" s="67">
        <f t="shared" si="1"/>
        <v>0.83131199999999994</v>
      </c>
      <c r="P46" s="217"/>
      <c r="Q46" s="166"/>
      <c r="R46" s="145" t="s">
        <v>81</v>
      </c>
      <c r="S46" s="145" t="s">
        <v>82</v>
      </c>
      <c r="T46" s="69" t="s">
        <v>83</v>
      </c>
      <c r="U46" s="69" t="s">
        <v>63</v>
      </c>
      <c r="V46" s="69" t="s">
        <v>120</v>
      </c>
      <c r="W46" s="166"/>
      <c r="X46" s="145" t="s">
        <v>81</v>
      </c>
      <c r="Y46" s="145" t="s">
        <v>82</v>
      </c>
      <c r="Z46" s="69" t="s">
        <v>83</v>
      </c>
      <c r="AA46" s="69" t="s">
        <v>63</v>
      </c>
      <c r="AB46" s="69" t="s">
        <v>120</v>
      </c>
    </row>
    <row r="47" spans="1:28" ht="27" thickBot="1">
      <c r="A47" s="68">
        <f>Main!A47</f>
        <v>78</v>
      </c>
      <c r="B47" s="67">
        <f>Main!C47</f>
        <v>2.4000565418257818</v>
      </c>
      <c r="C47" s="67">
        <f>Main!E47</f>
        <v>147</v>
      </c>
      <c r="E47" s="67">
        <f>Main!H47</f>
        <v>1.8272794096333411</v>
      </c>
      <c r="F47" s="67">
        <f>Main!R47</f>
        <v>0.24620264733018726</v>
      </c>
      <c r="G47" s="67">
        <f t="shared" si="2"/>
        <v>1.5810767623031539</v>
      </c>
      <c r="H47" s="67">
        <f t="shared" si="0"/>
        <v>0.79053838115157693</v>
      </c>
      <c r="K47" s="67">
        <f>Main!J47</f>
        <v>1.8808704000000003</v>
      </c>
      <c r="L47" s="67">
        <f>Main!V47</f>
        <v>0.2715264</v>
      </c>
      <c r="M47" s="67">
        <f t="shared" si="3"/>
        <v>1.6093440000000003</v>
      </c>
      <c r="N47" s="67">
        <f t="shared" si="1"/>
        <v>0.80467200000000016</v>
      </c>
      <c r="P47" s="217"/>
      <c r="Q47" s="147" t="s">
        <v>46</v>
      </c>
      <c r="R47" s="285">
        <f>V35</f>
        <v>47.177475654554122</v>
      </c>
      <c r="S47" s="285">
        <f>E80</f>
        <v>156.13391479112514</v>
      </c>
      <c r="T47" s="148">
        <f>S47/R47</f>
        <v>3.3095012529788304</v>
      </c>
      <c r="U47" s="148">
        <v>3</v>
      </c>
      <c r="V47" s="285">
        <f>R47*44/76</f>
        <v>27.313275378952383</v>
      </c>
      <c r="W47" s="147" t="s">
        <v>46</v>
      </c>
      <c r="X47" s="285">
        <f>AB35</f>
        <v>52.885532326892729</v>
      </c>
      <c r="Y47" s="285">
        <f>K80</f>
        <v>160.53010559999998</v>
      </c>
      <c r="Z47" s="148">
        <f>Y47/X47</f>
        <v>3.0354257305711019</v>
      </c>
      <c r="AA47" s="148">
        <v>3</v>
      </c>
      <c r="AB47" s="285">
        <f>X47*44/76</f>
        <v>30.617939768201051</v>
      </c>
    </row>
    <row r="48" spans="1:28" ht="27" thickBot="1">
      <c r="A48" s="68" t="str">
        <f>Main!A48</f>
        <v>Missing</v>
      </c>
      <c r="B48" s="67">
        <f>Main!C48</f>
        <v>2.3554931577600513</v>
      </c>
      <c r="C48" s="67">
        <f>Main!E48</f>
        <v>151.6</v>
      </c>
      <c r="E48" s="67">
        <f>Main!H48</f>
        <v>1.8164842263299783</v>
      </c>
      <c r="F48" s="67">
        <f>Main!R48</f>
        <v>0.2447021157526737</v>
      </c>
      <c r="G48" s="67">
        <f t="shared" si="2"/>
        <v>1.5717821105773047</v>
      </c>
      <c r="H48" s="67">
        <f t="shared" si="0"/>
        <v>0.78589105528865233</v>
      </c>
      <c r="K48" s="67">
        <f>Main!J48</f>
        <v>1.8744191999999997</v>
      </c>
      <c r="L48" s="67">
        <f>Main!V48</f>
        <v>0.27112320000000001</v>
      </c>
      <c r="M48" s="67">
        <f t="shared" si="3"/>
        <v>1.6032959999999998</v>
      </c>
      <c r="N48" s="67">
        <f t="shared" si="1"/>
        <v>0.80164799999999992</v>
      </c>
      <c r="P48" s="217"/>
      <c r="Q48" s="149" t="s">
        <v>57</v>
      </c>
      <c r="R48" s="286">
        <f>R47*K92</f>
        <v>42.799125151550513</v>
      </c>
      <c r="S48" s="286">
        <f>S47*K92</f>
        <v>141.64375831545419</v>
      </c>
      <c r="T48" s="150">
        <f>S48/R48</f>
        <v>3.3095012529788304</v>
      </c>
      <c r="U48" s="150">
        <v>3</v>
      </c>
      <c r="V48" s="286">
        <f>R48*44/76</f>
        <v>24.778440877213455</v>
      </c>
      <c r="W48" s="149" t="s">
        <v>57</v>
      </c>
      <c r="X48" s="286">
        <f>X47*K92</f>
        <v>47.977440194949409</v>
      </c>
      <c r="Y48" s="286">
        <f>Y47*K92</f>
        <v>145.63195645468565</v>
      </c>
      <c r="Z48" s="150">
        <f>Y48/X48</f>
        <v>3.0354257305711019</v>
      </c>
      <c r="AA48" s="150">
        <v>3</v>
      </c>
      <c r="AB48" s="286">
        <f>X48*44/76</f>
        <v>27.776412744444393</v>
      </c>
    </row>
    <row r="49" spans="1:27" ht="20" thickBot="1">
      <c r="A49" s="68">
        <f>Main!A49</f>
        <v>28</v>
      </c>
      <c r="B49" s="67">
        <f>Main!C49</f>
        <v>2.3554931577600513</v>
      </c>
      <c r="C49" s="67">
        <f>Main!E49</f>
        <v>150.4</v>
      </c>
      <c r="E49" s="67">
        <f>Main!H49</f>
        <v>1.8017629971002269</v>
      </c>
      <c r="F49" s="67">
        <f>Main!R49</f>
        <v>0.24076588868962803</v>
      </c>
      <c r="G49" s="67">
        <f t="shared" si="2"/>
        <v>1.5609971084105989</v>
      </c>
      <c r="H49" s="67">
        <f t="shared" si="0"/>
        <v>0.78049855420529946</v>
      </c>
      <c r="K49" s="67">
        <f>Main!J49</f>
        <v>1.8599039999999998</v>
      </c>
      <c r="L49" s="67">
        <f>Main!V49</f>
        <v>0.26697599999999999</v>
      </c>
      <c r="M49" s="67">
        <f t="shared" si="3"/>
        <v>1.5929279999999997</v>
      </c>
      <c r="N49" s="67">
        <f t="shared" si="1"/>
        <v>0.79646399999999984</v>
      </c>
      <c r="P49" s="217"/>
      <c r="Q49" s="191"/>
      <c r="R49" s="191"/>
      <c r="S49" s="191"/>
      <c r="T49" s="191"/>
      <c r="U49" s="191"/>
      <c r="V49" s="191"/>
      <c r="W49" s="191"/>
      <c r="X49" s="191"/>
      <c r="Y49" s="191"/>
      <c r="Z49" s="191"/>
      <c r="AA49" s="216"/>
    </row>
    <row r="50" spans="1:27" ht="20" thickBot="1">
      <c r="A50" s="68">
        <f>Main!A50</f>
        <v>39</v>
      </c>
      <c r="B50" s="67">
        <f>Main!C50</f>
        <v>2.370615041861007</v>
      </c>
      <c r="C50" s="67">
        <f>Main!E50</f>
        <v>147</v>
      </c>
      <c r="E50" s="67">
        <f>Main!H50</f>
        <v>1.7827238947288866</v>
      </c>
      <c r="F50" s="67">
        <f>Main!R50</f>
        <v>0.2351777446198112</v>
      </c>
      <c r="G50" s="67">
        <f t="shared" si="2"/>
        <v>1.5475461501090755</v>
      </c>
      <c r="H50" s="67">
        <f t="shared" si="0"/>
        <v>0.77377307505453774</v>
      </c>
      <c r="K50" s="67">
        <f>Main!J50</f>
        <v>1.8342719999999997</v>
      </c>
      <c r="L50" s="67">
        <f>Main!V50</f>
        <v>0.25925759999999998</v>
      </c>
      <c r="M50" s="67">
        <f t="shared" si="3"/>
        <v>1.5750143999999997</v>
      </c>
      <c r="N50" s="67">
        <f t="shared" si="1"/>
        <v>0.78750719999999985</v>
      </c>
      <c r="P50" s="160" t="s">
        <v>33</v>
      </c>
      <c r="Q50" s="251" t="s">
        <v>118</v>
      </c>
      <c r="R50" s="84"/>
      <c r="S50" s="84"/>
      <c r="T50" s="84"/>
      <c r="U50" s="84"/>
      <c r="V50" s="252" t="s">
        <v>38</v>
      </c>
      <c r="W50" s="251" t="s">
        <v>118</v>
      </c>
      <c r="X50" s="84"/>
      <c r="Y50" s="84"/>
      <c r="Z50" s="84"/>
      <c r="AA50" s="85"/>
    </row>
    <row r="51" spans="1:27" ht="20" thickBot="1">
      <c r="A51" s="68">
        <f>Main!A51</f>
        <v>113</v>
      </c>
      <c r="B51" s="67">
        <f>Main!C51</f>
        <v>2.370615041861007</v>
      </c>
      <c r="C51" s="67">
        <f>Main!E51</f>
        <v>147</v>
      </c>
      <c r="E51" s="67">
        <f>Main!H51</f>
        <v>1.7827238947288866</v>
      </c>
      <c r="F51" s="67">
        <f>Main!R51</f>
        <v>0.2351777446198112</v>
      </c>
      <c r="G51" s="67">
        <f t="shared" si="2"/>
        <v>1.5475461501090755</v>
      </c>
      <c r="H51" s="67">
        <f t="shared" si="0"/>
        <v>0.77377307505453774</v>
      </c>
      <c r="K51" s="67">
        <f>Main!J51</f>
        <v>1.8342719999999997</v>
      </c>
      <c r="L51" s="67">
        <f>Main!V51</f>
        <v>0.25925759999999998</v>
      </c>
      <c r="M51" s="67">
        <f t="shared" si="3"/>
        <v>1.5750143999999997</v>
      </c>
      <c r="N51" s="67">
        <f t="shared" si="1"/>
        <v>0.78750719999999985</v>
      </c>
      <c r="P51" s="176" t="s">
        <v>46</v>
      </c>
      <c r="Q51" s="174" t="s">
        <v>75</v>
      </c>
      <c r="R51" s="169" t="s">
        <v>76</v>
      </c>
      <c r="S51" s="168" t="s">
        <v>84</v>
      </c>
      <c r="T51" s="168" t="s">
        <v>85</v>
      </c>
      <c r="U51" s="168" t="s">
        <v>86</v>
      </c>
      <c r="V51" s="253" t="s">
        <v>46</v>
      </c>
      <c r="W51" s="174" t="s">
        <v>75</v>
      </c>
      <c r="X51" s="169" t="s">
        <v>76</v>
      </c>
      <c r="Y51" s="168" t="s">
        <v>77</v>
      </c>
      <c r="Z51" s="168" t="s">
        <v>78</v>
      </c>
      <c r="AA51" s="168" t="s">
        <v>79</v>
      </c>
    </row>
    <row r="52" spans="1:27" ht="25" thickBot="1">
      <c r="A52" s="68">
        <f>Main!A52</f>
        <v>80</v>
      </c>
      <c r="B52" s="67">
        <f>Main!C52</f>
        <v>2.3586762566218891</v>
      </c>
      <c r="C52" s="67">
        <f>Main!E52</f>
        <v>147</v>
      </c>
      <c r="E52" s="67">
        <f>Main!H52</f>
        <v>1.7648129613254244</v>
      </c>
      <c r="F52" s="67">
        <f>Main!R52</f>
        <v>0.23077901541839257</v>
      </c>
      <c r="G52" s="67">
        <f t="shared" si="2"/>
        <v>1.5340339459070318</v>
      </c>
      <c r="H52" s="67">
        <f t="shared" si="0"/>
        <v>0.7670169729535159</v>
      </c>
      <c r="K52" s="67">
        <f>Main!J52</f>
        <v>1.8188927999999998</v>
      </c>
      <c r="L52" s="67">
        <f>Main!V52</f>
        <v>0.2552256</v>
      </c>
      <c r="M52" s="67">
        <f t="shared" si="3"/>
        <v>1.5636671999999998</v>
      </c>
      <c r="N52" s="67">
        <f t="shared" si="1"/>
        <v>0.78183359999999991</v>
      </c>
      <c r="P52" s="177"/>
      <c r="Q52" s="175">
        <v>1</v>
      </c>
      <c r="R52" s="258">
        <v>0.25</v>
      </c>
      <c r="S52" s="148">
        <f>R52*R47</f>
        <v>11.794368913638531</v>
      </c>
      <c r="T52" s="148">
        <f>S47</f>
        <v>156.13391479112514</v>
      </c>
      <c r="U52" s="148">
        <f>S55</f>
        <v>77.842834830014311</v>
      </c>
      <c r="V52" s="177"/>
      <c r="W52" s="175">
        <v>1</v>
      </c>
      <c r="X52" s="167">
        <f>R52</f>
        <v>0.25</v>
      </c>
      <c r="Y52" s="148">
        <f>X52*X47</f>
        <v>13.221383081723182</v>
      </c>
      <c r="Z52" s="148">
        <f>Y47</f>
        <v>160.53010559999998</v>
      </c>
      <c r="AA52" s="148">
        <f>Y55</f>
        <v>87.261128339373002</v>
      </c>
    </row>
    <row r="53" spans="1:27" ht="25" thickBot="1">
      <c r="A53" s="68">
        <f>Main!A53</f>
        <v>90</v>
      </c>
      <c r="B53" s="67">
        <f>Main!C53</f>
        <v>2.3392853276513907</v>
      </c>
      <c r="C53" s="67">
        <f>Main!E53</f>
        <v>147</v>
      </c>
      <c r="E53" s="67">
        <f>Main!H53</f>
        <v>1.7359148080094053</v>
      </c>
      <c r="F53" s="67">
        <f>Main!R53</f>
        <v>0.2237231123306696</v>
      </c>
      <c r="G53" s="67">
        <f t="shared" si="2"/>
        <v>1.5121916956787358</v>
      </c>
      <c r="H53" s="67">
        <f t="shared" si="0"/>
        <v>0.7560958478393679</v>
      </c>
      <c r="I53" s="158"/>
      <c r="K53" s="67">
        <f>Main!J53</f>
        <v>1.7882495999999997</v>
      </c>
      <c r="L53" s="67">
        <f>Main!V53</f>
        <v>0.24721919999999997</v>
      </c>
      <c r="M53" s="67">
        <f t="shared" si="3"/>
        <v>1.5410303999999997</v>
      </c>
      <c r="N53" s="67">
        <f t="shared" si="1"/>
        <v>0.77051519999999984</v>
      </c>
      <c r="P53" s="177"/>
      <c r="Q53" s="175">
        <v>2</v>
      </c>
      <c r="R53" s="258">
        <v>0.5</v>
      </c>
      <c r="S53" s="148">
        <f>R53*R47</f>
        <v>23.588737827277061</v>
      </c>
      <c r="T53" s="86"/>
      <c r="U53" s="168" t="s">
        <v>108</v>
      </c>
      <c r="V53" s="177"/>
      <c r="W53" s="175">
        <v>2</v>
      </c>
      <c r="X53" s="167">
        <f>R53</f>
        <v>0.5</v>
      </c>
      <c r="Y53" s="148">
        <f>X53*X47</f>
        <v>26.442766163446365</v>
      </c>
      <c r="Z53" s="86"/>
      <c r="AA53" s="168" t="s">
        <v>108</v>
      </c>
    </row>
    <row r="54" spans="1:27" ht="25" thickBot="1">
      <c r="A54" s="68">
        <f>Main!A54</f>
        <v>62</v>
      </c>
      <c r="B54" s="67">
        <f>Main!C54</f>
        <v>2.3172959714179964</v>
      </c>
      <c r="C54" s="67">
        <f>Main!E54</f>
        <v>147</v>
      </c>
      <c r="E54" s="67">
        <f>Main!H54</f>
        <v>1.7034328860315575</v>
      </c>
      <c r="F54" s="67">
        <f>Main!R54</f>
        <v>0.21585425098332459</v>
      </c>
      <c r="G54" s="67">
        <f t="shared" si="2"/>
        <v>1.487578635048233</v>
      </c>
      <c r="H54" s="67">
        <f t="shared" si="0"/>
        <v>0.74378931752411648</v>
      </c>
      <c r="K54" s="67">
        <f>Main!J54</f>
        <v>1.7578943999999999</v>
      </c>
      <c r="L54" s="67">
        <f>Main!V54</f>
        <v>0.2393856</v>
      </c>
      <c r="M54" s="67">
        <f t="shared" si="3"/>
        <v>1.5185087999999998</v>
      </c>
      <c r="N54" s="67">
        <f t="shared" si="1"/>
        <v>0.75925439999999988</v>
      </c>
      <c r="P54" s="178"/>
      <c r="Q54" s="196">
        <v>3</v>
      </c>
      <c r="R54" s="273">
        <v>0.9</v>
      </c>
      <c r="S54" s="148">
        <f>R54*R47</f>
        <v>42.459728089098711</v>
      </c>
      <c r="T54" s="89"/>
      <c r="U54" s="148">
        <f>T52/U52</f>
        <v>2.005758335138685</v>
      </c>
      <c r="V54" s="178"/>
      <c r="W54" s="196">
        <v>3</v>
      </c>
      <c r="X54" s="197">
        <f>R54</f>
        <v>0.9</v>
      </c>
      <c r="Y54" s="148">
        <f>X54*X47</f>
        <v>47.596979094203455</v>
      </c>
      <c r="Z54" s="89"/>
      <c r="AA54" s="148">
        <f>Z52/AA52</f>
        <v>1.83965195792188</v>
      </c>
    </row>
    <row r="55" spans="1:27" ht="27" thickBot="1">
      <c r="A55" s="68">
        <f>Main!A55</f>
        <v>39</v>
      </c>
      <c r="B55" s="67">
        <f>Main!C55</f>
        <v>2.3554931577600513</v>
      </c>
      <c r="C55" s="67">
        <f>Main!E55</f>
        <v>138</v>
      </c>
      <c r="E55" s="67">
        <f>Main!H55</f>
        <v>1.6496436283927904</v>
      </c>
      <c r="F55" s="67">
        <f>Main!R55</f>
        <v>0.20009154237148927</v>
      </c>
      <c r="G55" s="67">
        <f t="shared" si="2"/>
        <v>1.4495520860213011</v>
      </c>
      <c r="H55" s="67">
        <f t="shared" si="0"/>
        <v>0.72477604301065057</v>
      </c>
      <c r="K55" s="67">
        <f>Main!J55</f>
        <v>1.7102015999999998</v>
      </c>
      <c r="L55" s="67">
        <f>Main!V55</f>
        <v>0.22400639999999999</v>
      </c>
      <c r="M55" s="67">
        <f t="shared" si="3"/>
        <v>1.4861951999999998</v>
      </c>
      <c r="N55" s="67">
        <f t="shared" si="1"/>
        <v>0.74309759999999991</v>
      </c>
      <c r="P55" s="178"/>
      <c r="Q55" s="194"/>
      <c r="R55" s="195" t="s">
        <v>9</v>
      </c>
      <c r="S55" s="287">
        <f>SUM(S52:S54)</f>
        <v>77.842834830014311</v>
      </c>
      <c r="T55" s="89"/>
      <c r="U55" s="89"/>
      <c r="V55" s="178"/>
      <c r="W55" s="194"/>
      <c r="X55" s="195" t="s">
        <v>9</v>
      </c>
      <c r="Y55" s="287">
        <f>SUM(Y52:Y54)</f>
        <v>87.261128339373002</v>
      </c>
      <c r="Z55" s="89"/>
      <c r="AA55" s="90"/>
    </row>
    <row r="56" spans="1:27" ht="20" thickBot="1">
      <c r="A56" s="68">
        <f>Main!A56</f>
        <v>40</v>
      </c>
      <c r="B56" s="67">
        <f>Main!C56</f>
        <v>2.2557394230924124</v>
      </c>
      <c r="C56" s="67">
        <f>Main!E56</f>
        <v>148.1</v>
      </c>
      <c r="E56" s="67">
        <f>Main!H56</f>
        <v>1.6265107675428394</v>
      </c>
      <c r="F56" s="67">
        <f>Main!R56</f>
        <v>0.1976330861504304</v>
      </c>
      <c r="G56" s="67">
        <f t="shared" si="2"/>
        <v>1.4288776813924091</v>
      </c>
      <c r="H56" s="67">
        <f t="shared" si="0"/>
        <v>0.71443884069620456</v>
      </c>
      <c r="K56" s="67">
        <f>Main!J56</f>
        <v>1.6795008</v>
      </c>
      <c r="L56" s="67">
        <f>Main!V56</f>
        <v>0.2198592</v>
      </c>
      <c r="M56" s="67">
        <f t="shared" si="3"/>
        <v>1.4596416000000001</v>
      </c>
      <c r="N56" s="67">
        <f t="shared" si="1"/>
        <v>0.72982080000000005</v>
      </c>
      <c r="P56" s="217"/>
      <c r="Q56" s="191"/>
      <c r="R56" s="191"/>
      <c r="S56" s="191"/>
      <c r="T56" s="191"/>
      <c r="U56" s="191"/>
      <c r="V56" s="191"/>
      <c r="W56" s="191"/>
      <c r="X56" s="191"/>
      <c r="Y56" s="191"/>
      <c r="Z56" s="191"/>
      <c r="AA56" s="216"/>
    </row>
    <row r="57" spans="1:27" ht="20" thickBot="1">
      <c r="A57" s="68">
        <f>Main!A57</f>
        <v>45</v>
      </c>
      <c r="B57" s="67">
        <f>Main!C57</f>
        <v>2.2136695513510909</v>
      </c>
      <c r="C57" s="67">
        <f>Main!E57</f>
        <v>153</v>
      </c>
      <c r="E57" s="67">
        <f>Main!H57</f>
        <v>1.6194981706730942</v>
      </c>
      <c r="F57" s="67">
        <f>Main!R57</f>
        <v>0.34658081468468499</v>
      </c>
      <c r="G57" s="67">
        <f t="shared" si="2"/>
        <v>1.2729173559884093</v>
      </c>
      <c r="H57" s="67">
        <f t="shared" si="0"/>
        <v>0.63645867799420464</v>
      </c>
      <c r="K57" s="67">
        <f>Main!J57</f>
        <v>1.6592256000000001</v>
      </c>
      <c r="L57" s="67">
        <f>Main!V57</f>
        <v>0.37987199999999999</v>
      </c>
      <c r="M57" s="67">
        <f t="shared" si="3"/>
        <v>1.2793536000000001</v>
      </c>
      <c r="N57" s="67">
        <f t="shared" si="1"/>
        <v>0.63967680000000005</v>
      </c>
      <c r="P57" s="30" t="s">
        <v>33</v>
      </c>
      <c r="Q57" s="192"/>
      <c r="R57" s="192"/>
      <c r="S57" s="192"/>
      <c r="T57" s="192"/>
      <c r="U57" s="192"/>
      <c r="V57" s="155" t="s">
        <v>38</v>
      </c>
      <c r="W57" s="192"/>
      <c r="X57" s="192"/>
      <c r="Y57" s="192"/>
      <c r="Z57" s="192"/>
      <c r="AA57" s="193"/>
    </row>
    <row r="58" spans="1:27" ht="20" thickBot="1">
      <c r="A58" s="68">
        <f>Main!A58</f>
        <v>76</v>
      </c>
      <c r="B58" s="67">
        <f>Main!C58</f>
        <v>2.221803005562859</v>
      </c>
      <c r="C58" s="67">
        <f>Main!E58</f>
        <v>145</v>
      </c>
      <c r="E58" s="67">
        <f>Main!H58</f>
        <v>1.5441034537870426</v>
      </c>
      <c r="F58" s="67">
        <f>Main!R58</f>
        <v>0.31351555253578056</v>
      </c>
      <c r="G58" s="67">
        <f t="shared" si="2"/>
        <v>1.2305879012512619</v>
      </c>
      <c r="H58" s="67">
        <f t="shared" si="0"/>
        <v>0.61529395062563097</v>
      </c>
      <c r="K58" s="67">
        <f>Main!J58</f>
        <v>1.5887232</v>
      </c>
      <c r="L58" s="67">
        <f>Main!V58</f>
        <v>0.34629119999999997</v>
      </c>
      <c r="M58" s="67">
        <f t="shared" si="3"/>
        <v>1.242432</v>
      </c>
      <c r="N58" s="67">
        <f t="shared" si="1"/>
        <v>0.62121599999999999</v>
      </c>
      <c r="P58" s="182" t="s">
        <v>57</v>
      </c>
      <c r="Q58" s="183" t="s">
        <v>75</v>
      </c>
      <c r="R58" s="184" t="s">
        <v>76</v>
      </c>
      <c r="S58" s="171" t="s">
        <v>87</v>
      </c>
      <c r="T58" s="171" t="s">
        <v>88</v>
      </c>
      <c r="U58" s="171" t="s">
        <v>89</v>
      </c>
      <c r="V58" s="171" t="s">
        <v>57</v>
      </c>
      <c r="W58" s="183" t="s">
        <v>75</v>
      </c>
      <c r="X58" s="184" t="s">
        <v>76</v>
      </c>
      <c r="Y58" s="171" t="s">
        <v>87</v>
      </c>
      <c r="Z58" s="171" t="s">
        <v>88</v>
      </c>
      <c r="AA58" s="171" t="s">
        <v>89</v>
      </c>
    </row>
    <row r="59" spans="1:27" ht="22" thickBot="1">
      <c r="A59" s="68">
        <f>Main!A59</f>
        <v>108</v>
      </c>
      <c r="B59" s="67">
        <f>Main!C59</f>
        <v>2.1827032833695186</v>
      </c>
      <c r="C59" s="67">
        <f>Main!E59</f>
        <v>145</v>
      </c>
      <c r="E59" s="67">
        <f>Main!H59</f>
        <v>1.490234790290041</v>
      </c>
      <c r="F59" s="67">
        <f>Main!R59</f>
        <v>0.29726078119016008</v>
      </c>
      <c r="G59" s="67">
        <f t="shared" si="2"/>
        <v>1.1929740090998808</v>
      </c>
      <c r="H59" s="67">
        <f t="shared" si="0"/>
        <v>0.59648700454994041</v>
      </c>
      <c r="K59" s="67">
        <f>Main!J59</f>
        <v>1.5321599999999997</v>
      </c>
      <c r="L59" s="67">
        <f>Main!V59</f>
        <v>0.32808959999999998</v>
      </c>
      <c r="M59" s="67">
        <f t="shared" si="3"/>
        <v>1.2040703999999998</v>
      </c>
      <c r="N59" s="67">
        <f t="shared" si="1"/>
        <v>0.60203519999999988</v>
      </c>
      <c r="P59" s="179"/>
      <c r="Q59" s="170">
        <v>1</v>
      </c>
      <c r="R59" s="185">
        <f>R52</f>
        <v>0.25</v>
      </c>
      <c r="S59" s="188">
        <f>R59*R48</f>
        <v>10.699781287887628</v>
      </c>
      <c r="T59" s="201">
        <f>S48</f>
        <v>141.64375831545419</v>
      </c>
      <c r="U59" s="201">
        <f>S62</f>
        <v>70.618556500058347</v>
      </c>
      <c r="V59" s="179"/>
      <c r="W59" s="202">
        <v>1</v>
      </c>
      <c r="X59" s="203">
        <f>R52</f>
        <v>0.25</v>
      </c>
      <c r="Y59" s="204">
        <f>X59*X48</f>
        <v>11.994360048737352</v>
      </c>
      <c r="Z59" s="201">
        <f>Y48</f>
        <v>145.63195645468565</v>
      </c>
      <c r="AA59" s="201">
        <f>Y62</f>
        <v>79.162776321666527</v>
      </c>
    </row>
    <row r="60" spans="1:27" ht="20" thickBot="1">
      <c r="A60" s="68" t="str">
        <f>Main!A60</f>
        <v>Missing</v>
      </c>
      <c r="B60" s="67">
        <f>Main!C60</f>
        <v>2.1263100397077217</v>
      </c>
      <c r="C60" s="67">
        <f>Main!E60</f>
        <v>151</v>
      </c>
      <c r="E60" s="67">
        <f>Main!H60</f>
        <v>1.4742044823118332</v>
      </c>
      <c r="F60" s="67">
        <f>Main!R60</f>
        <v>0.2988062137218751</v>
      </c>
      <c r="G60" s="67">
        <f t="shared" si="2"/>
        <v>1.1753982685899582</v>
      </c>
      <c r="H60" s="67">
        <f t="shared" si="0"/>
        <v>0.58769913429497911</v>
      </c>
      <c r="K60" s="67">
        <f>Main!J60</f>
        <v>1.5219647999999999</v>
      </c>
      <c r="L60" s="67">
        <f>Main!V60</f>
        <v>0.32693759999999999</v>
      </c>
      <c r="M60" s="67">
        <f t="shared" si="3"/>
        <v>1.1950272</v>
      </c>
      <c r="N60" s="67">
        <f t="shared" si="1"/>
        <v>0.59751359999999998</v>
      </c>
      <c r="P60" s="179"/>
      <c r="Q60" s="186">
        <v>2</v>
      </c>
      <c r="R60" s="172">
        <f>R53</f>
        <v>0.5</v>
      </c>
      <c r="S60" s="189">
        <f>R60*R48</f>
        <v>21.399562575775256</v>
      </c>
      <c r="T60" s="208"/>
      <c r="U60" s="171" t="s">
        <v>80</v>
      </c>
      <c r="V60" s="209"/>
      <c r="W60" s="170">
        <v>2</v>
      </c>
      <c r="X60" s="185">
        <f>R53</f>
        <v>0.5</v>
      </c>
      <c r="Y60" s="188">
        <f>X60*X48</f>
        <v>23.988720097474705</v>
      </c>
      <c r="Z60" s="192"/>
      <c r="AA60" s="171" t="s">
        <v>80</v>
      </c>
    </row>
    <row r="61" spans="1:27" ht="22" thickBot="1">
      <c r="A61" s="68">
        <f>Main!A61</f>
        <v>82</v>
      </c>
      <c r="B61" s="67">
        <f>Main!C61</f>
        <v>2.0594649636091256</v>
      </c>
      <c r="C61" s="67">
        <f>Main!E61</f>
        <v>158.80000000000001</v>
      </c>
      <c r="E61" s="67">
        <f>Main!H61</f>
        <v>1.4561199411606816</v>
      </c>
      <c r="F61" s="67">
        <f>Main!R61</f>
        <v>0.29936206620906219</v>
      </c>
      <c r="G61" s="67">
        <f t="shared" si="2"/>
        <v>1.1567578749516194</v>
      </c>
      <c r="H61" s="67">
        <f t="shared" si="0"/>
        <v>0.57837893747580971</v>
      </c>
      <c r="K61" s="67">
        <f>Main!J61</f>
        <v>1.4957567999999999</v>
      </c>
      <c r="L61" s="67">
        <f>Main!V61</f>
        <v>0.32958719999999997</v>
      </c>
      <c r="M61" s="67">
        <f t="shared" si="3"/>
        <v>1.1661695999999999</v>
      </c>
      <c r="N61" s="67">
        <f t="shared" si="1"/>
        <v>0.58308479999999996</v>
      </c>
      <c r="P61" s="179"/>
      <c r="Q61" s="187">
        <v>3</v>
      </c>
      <c r="R61" s="173">
        <f>R54</f>
        <v>0.9</v>
      </c>
      <c r="S61" s="190">
        <f>R61*R48</f>
        <v>38.519212636395466</v>
      </c>
      <c r="T61" s="210"/>
      <c r="U61" s="150">
        <f>T59/U59</f>
        <v>2.005758335138685</v>
      </c>
      <c r="V61" s="180"/>
      <c r="W61" s="187">
        <v>3</v>
      </c>
      <c r="X61" s="173">
        <f>R54</f>
        <v>0.9</v>
      </c>
      <c r="Y61" s="190">
        <f>X61*X48</f>
        <v>43.179696175454467</v>
      </c>
      <c r="Z61" s="198"/>
      <c r="AA61" s="150">
        <f>Z59/AA59</f>
        <v>1.8396519579218797</v>
      </c>
    </row>
    <row r="62" spans="1:27" ht="22" thickBot="1">
      <c r="A62" s="68">
        <f>Main!A62</f>
        <v>43</v>
      </c>
      <c r="B62" s="67">
        <f>Main!C62</f>
        <v>2.1485917317405869</v>
      </c>
      <c r="C62" s="67">
        <f>Main!E62</f>
        <v>138.5</v>
      </c>
      <c r="E62" s="67">
        <f>Main!H62</f>
        <v>1.3776727749233939</v>
      </c>
      <c r="F62" s="67">
        <f>Main!R62</f>
        <v>0.25634024422203927</v>
      </c>
      <c r="G62" s="67">
        <f t="shared" si="2"/>
        <v>1.1213325307013546</v>
      </c>
      <c r="H62" s="67">
        <f t="shared" si="0"/>
        <v>0.56066626535067732</v>
      </c>
      <c r="K62" s="67">
        <f>Main!J62</f>
        <v>1.4252543999999998</v>
      </c>
      <c r="L62" s="67">
        <f>Main!V62</f>
        <v>0.28615679999999999</v>
      </c>
      <c r="M62" s="67">
        <f t="shared" si="3"/>
        <v>1.1390975999999999</v>
      </c>
      <c r="N62" s="67">
        <f t="shared" si="1"/>
        <v>0.56954879999999997</v>
      </c>
      <c r="P62" s="180"/>
      <c r="Q62" s="151"/>
      <c r="R62" s="181" t="s">
        <v>9</v>
      </c>
      <c r="S62" s="150">
        <f>SUM(S59:S61)</f>
        <v>70.618556500058347</v>
      </c>
      <c r="T62" s="198"/>
      <c r="U62" s="198"/>
      <c r="V62" s="180"/>
      <c r="W62" s="205"/>
      <c r="X62" s="206" t="s">
        <v>9</v>
      </c>
      <c r="Y62" s="207">
        <f>SUM(Y59:Y61)</f>
        <v>79.162776321666527</v>
      </c>
      <c r="Z62" s="198"/>
      <c r="AA62" s="199"/>
    </row>
    <row r="63" spans="1:27" ht="19">
      <c r="A63" s="68">
        <f>Main!A63</f>
        <v>64</v>
      </c>
      <c r="B63" s="67">
        <f>Main!C63</f>
        <v>2.0594649636091256</v>
      </c>
      <c r="C63" s="67">
        <f>Main!E63</f>
        <v>145</v>
      </c>
      <c r="E63" s="67">
        <f>Main!H63</f>
        <v>1.3267042197649037</v>
      </c>
      <c r="F63" s="67">
        <f>Main!R63</f>
        <v>0.24885844134738663</v>
      </c>
      <c r="G63" s="67">
        <f t="shared" si="2"/>
        <v>1.0778457784175171</v>
      </c>
      <c r="H63" s="67">
        <f t="shared" si="0"/>
        <v>0.53892288920875853</v>
      </c>
      <c r="K63" s="67">
        <f>Main!J63</f>
        <v>1.3686912</v>
      </c>
      <c r="L63" s="67">
        <f>Main!V63</f>
        <v>0.27636480000000002</v>
      </c>
      <c r="M63" s="67">
        <f t="shared" si="3"/>
        <v>1.0923263999999999</v>
      </c>
      <c r="N63" s="67">
        <f t="shared" si="1"/>
        <v>0.54616319999999996</v>
      </c>
    </row>
    <row r="64" spans="1:27" ht="19">
      <c r="A64" s="68">
        <f>Main!A64</f>
        <v>109</v>
      </c>
      <c r="B64" s="67">
        <f>Main!C64</f>
        <v>2.0573178997648389</v>
      </c>
      <c r="C64" s="67">
        <f>Main!E64</f>
        <v>145</v>
      </c>
      <c r="E64" s="67">
        <f>Main!H64</f>
        <v>1.3239393911586927</v>
      </c>
      <c r="F64" s="67">
        <f>Main!R64</f>
        <v>0.24805326875338057</v>
      </c>
      <c r="G64" s="67">
        <f t="shared" si="2"/>
        <v>1.0758861224053122</v>
      </c>
      <c r="H64" s="67">
        <f t="shared" si="0"/>
        <v>0.53794306120265611</v>
      </c>
      <c r="K64" s="67">
        <f>Main!J64</f>
        <v>1.3686912</v>
      </c>
      <c r="L64" s="67">
        <f>Main!V64</f>
        <v>0.2722752</v>
      </c>
      <c r="M64" s="67">
        <f t="shared" si="3"/>
        <v>1.0964160000000001</v>
      </c>
      <c r="N64" s="67">
        <f t="shared" si="1"/>
        <v>0.54820800000000003</v>
      </c>
    </row>
    <row r="65" spans="1:14" ht="19">
      <c r="A65" s="68">
        <f>Main!A65</f>
        <v>83</v>
      </c>
      <c r="B65" s="67">
        <f>Main!C65</f>
        <v>2.0149015795433951</v>
      </c>
      <c r="C65" s="67">
        <f>Main!E65</f>
        <v>150.6</v>
      </c>
      <c r="E65" s="67">
        <f>Main!H65</f>
        <v>1.3201784501733005</v>
      </c>
      <c r="F65" s="67">
        <f>Main!R65</f>
        <v>0.25155415046604596</v>
      </c>
      <c r="G65" s="67">
        <f t="shared" si="2"/>
        <v>1.0686242997072546</v>
      </c>
      <c r="H65" s="67">
        <f t="shared" si="0"/>
        <v>0.53431214985362729</v>
      </c>
      <c r="K65" s="67">
        <f>Main!J65</f>
        <v>1.3523904</v>
      </c>
      <c r="L65" s="67">
        <f>Main!V65</f>
        <v>0.27619199999999999</v>
      </c>
      <c r="M65" s="67">
        <f t="shared" si="3"/>
        <v>1.0761984</v>
      </c>
      <c r="N65" s="67">
        <f t="shared" si="1"/>
        <v>0.5380992</v>
      </c>
    </row>
    <row r="66" spans="1:14" ht="19">
      <c r="A66" s="68" t="str">
        <f>Main!A66</f>
        <v>Missing</v>
      </c>
      <c r="B66" s="67">
        <f>Main!C66</f>
        <v>2.0085353818197191</v>
      </c>
      <c r="C66" s="67">
        <f>Main!E66</f>
        <v>145</v>
      </c>
      <c r="E66" s="67">
        <f>Main!H66</f>
        <v>1.2618980453019732</v>
      </c>
      <c r="F66" s="67">
        <f>Main!R66</f>
        <v>0.23011085844191137</v>
      </c>
      <c r="G66" s="67">
        <f t="shared" si="2"/>
        <v>1.0317871868600619</v>
      </c>
      <c r="H66" s="67">
        <f t="shared" si="0"/>
        <v>0.51589359343003094</v>
      </c>
      <c r="K66" s="67">
        <f>Main!J66</f>
        <v>1.3033151999999999</v>
      </c>
      <c r="L66" s="67">
        <f>Main!V66</f>
        <v>0.25614720000000002</v>
      </c>
      <c r="M66" s="67">
        <f t="shared" si="3"/>
        <v>1.0471679999999999</v>
      </c>
      <c r="N66" s="67">
        <f t="shared" si="1"/>
        <v>0.52358399999999994</v>
      </c>
    </row>
    <row r="67" spans="1:14" ht="19">
      <c r="A67" s="68">
        <f>Main!A67</f>
        <v>88</v>
      </c>
      <c r="B67" s="67">
        <f>Main!C67</f>
        <v>1.9353241079974475</v>
      </c>
      <c r="C67" s="67">
        <f>Main!E67</f>
        <v>145</v>
      </c>
      <c r="E67" s="67">
        <f>Main!H67</f>
        <v>1.1715820460027695</v>
      </c>
      <c r="F67" s="67">
        <f>Main!R67</f>
        <v>0.20444729933441297</v>
      </c>
      <c r="G67" s="67">
        <f t="shared" si="2"/>
        <v>0.96713474666835653</v>
      </c>
      <c r="H67" s="67">
        <f t="shared" si="0"/>
        <v>0.48356737333417826</v>
      </c>
      <c r="K67" s="67">
        <f>Main!J67</f>
        <v>1.2144959999999998</v>
      </c>
      <c r="L67" s="67">
        <f>Main!V67</f>
        <v>0.22538880000000003</v>
      </c>
      <c r="M67" s="67">
        <f t="shared" si="3"/>
        <v>0.98910719999999974</v>
      </c>
      <c r="N67" s="67">
        <f t="shared" si="1"/>
        <v>0.49455359999999987</v>
      </c>
    </row>
    <row r="68" spans="1:14" ht="19">
      <c r="A68" s="68">
        <f>Main!A68</f>
        <v>61</v>
      </c>
      <c r="B68" s="67">
        <f>Main!C68</f>
        <v>1.8716621307606891</v>
      </c>
      <c r="C68" s="67">
        <f>Main!E68</f>
        <v>140</v>
      </c>
      <c r="E68" s="67">
        <f>Main!H68</f>
        <v>1.0570440974915796</v>
      </c>
      <c r="F68" s="67">
        <f>Main!R68</f>
        <v>0.16988154085209808</v>
      </c>
      <c r="G68" s="67">
        <f t="shared" si="2"/>
        <v>0.88716255663948151</v>
      </c>
      <c r="H68" s="67">
        <f t="shared" si="0"/>
        <v>0.44358127831974076</v>
      </c>
      <c r="K68" s="67">
        <f>Main!J68</f>
        <v>1.0908287999999999</v>
      </c>
      <c r="L68" s="67">
        <f>Main!V68</f>
        <v>0.18938880000000002</v>
      </c>
      <c r="M68" s="67">
        <f t="shared" si="3"/>
        <v>0.90143999999999991</v>
      </c>
      <c r="N68" s="67">
        <f t="shared" si="1"/>
        <v>0.45071999999999995</v>
      </c>
    </row>
    <row r="69" spans="1:14" ht="19">
      <c r="A69" s="68">
        <f>Main!A69</f>
        <v>46</v>
      </c>
      <c r="B69" s="67">
        <f>Main!C69</f>
        <v>1.7022478053891812</v>
      </c>
      <c r="C69" s="67">
        <f>Main!E69</f>
        <v>140</v>
      </c>
      <c r="E69" s="67">
        <f>Main!H69</f>
        <v>0.87434687986752657</v>
      </c>
      <c r="F69" s="67">
        <f>Main!R69</f>
        <v>0.17406142119530138</v>
      </c>
      <c r="G69" s="67">
        <f t="shared" si="2"/>
        <v>0.70028545867222514</v>
      </c>
      <c r="H69" s="67">
        <f t="shared" ref="H69:H80" si="4">G69/2</f>
        <v>0.35014272933611257</v>
      </c>
      <c r="K69" s="67">
        <f>Main!J69</f>
        <v>0.90236159999999999</v>
      </c>
      <c r="L69" s="67">
        <f>Main!V69</f>
        <v>0.19272959999999997</v>
      </c>
      <c r="M69" s="67">
        <f t="shared" si="3"/>
        <v>0.70963200000000004</v>
      </c>
      <c r="N69" s="67">
        <f t="shared" ref="N69:N80" si="5">M69/2</f>
        <v>0.35481600000000002</v>
      </c>
    </row>
    <row r="70" spans="1:14" ht="19">
      <c r="A70" s="68">
        <f>Main!A70</f>
        <v>30</v>
      </c>
      <c r="B70" s="67">
        <f>Main!C70</f>
        <v>1.6918045673193092</v>
      </c>
      <c r="C70" s="67">
        <f>Main!E70</f>
        <v>140</v>
      </c>
      <c r="E70" s="67">
        <f>Main!H70</f>
        <v>0.86365160582797174</v>
      </c>
      <c r="F70" s="67">
        <f>Main!R70</f>
        <v>0.1709205563186792</v>
      </c>
      <c r="G70" s="67">
        <f t="shared" ref="G70:G79" si="6">E70-F70</f>
        <v>0.69273104950929254</v>
      </c>
      <c r="H70" s="67">
        <f t="shared" si="4"/>
        <v>0.34636552475464627</v>
      </c>
      <c r="K70" s="67">
        <f>Main!J70</f>
        <v>0.89182079999999997</v>
      </c>
      <c r="L70" s="67">
        <f>Main!V70</f>
        <v>0.18938880000000002</v>
      </c>
      <c r="M70" s="67">
        <f t="shared" ref="M70:M79" si="7">K70-L70</f>
        <v>0.70243199999999995</v>
      </c>
      <c r="N70" s="67">
        <f t="shared" si="5"/>
        <v>0.35121599999999997</v>
      </c>
    </row>
    <row r="71" spans="1:14" ht="19">
      <c r="A71" s="68">
        <f>Main!A71</f>
        <v>67</v>
      </c>
      <c r="B71" s="67">
        <f>Main!C71</f>
        <v>1.6201973206754945</v>
      </c>
      <c r="C71" s="67">
        <f>Main!E71</f>
        <v>140</v>
      </c>
      <c r="E71" s="67">
        <f>Main!H71</f>
        <v>0.79208906538426105</v>
      </c>
      <c r="F71" s="67">
        <f>Main!R71</f>
        <v>0.15015453888344718</v>
      </c>
      <c r="G71" s="67">
        <f t="shared" si="6"/>
        <v>0.64193452650081384</v>
      </c>
      <c r="H71" s="67">
        <f t="shared" si="4"/>
        <v>0.32096726325040692</v>
      </c>
      <c r="K71" s="67">
        <f>Main!J71</f>
        <v>0.8198783999999999</v>
      </c>
      <c r="L71" s="67">
        <f>Main!V71</f>
        <v>0.16709760000000001</v>
      </c>
      <c r="M71" s="67">
        <f t="shared" si="7"/>
        <v>0.65278079999999994</v>
      </c>
      <c r="N71" s="67">
        <f t="shared" si="5"/>
        <v>0.32639039999999997</v>
      </c>
    </row>
    <row r="72" spans="1:14" ht="19">
      <c r="A72" s="68">
        <f>Main!A72</f>
        <v>69</v>
      </c>
      <c r="B72" s="67">
        <f>Main!C72</f>
        <v>1.6170142218136567</v>
      </c>
      <c r="C72" s="67">
        <f>Main!E72</f>
        <v>140</v>
      </c>
      <c r="E72" s="67">
        <f>Main!H72</f>
        <v>0.78897978844193106</v>
      </c>
      <c r="F72" s="67">
        <f>Main!R72</f>
        <v>0.14926265486022797</v>
      </c>
      <c r="G72" s="67">
        <f t="shared" si="6"/>
        <v>0.63971713358170312</v>
      </c>
      <c r="H72" s="67">
        <f t="shared" si="4"/>
        <v>0.31985856679085156</v>
      </c>
      <c r="K72" s="67">
        <f>Main!J72</f>
        <v>0.8198783999999999</v>
      </c>
      <c r="L72" s="67">
        <f>Main!V72</f>
        <v>0.16709760000000001</v>
      </c>
      <c r="M72" s="67">
        <f t="shared" si="7"/>
        <v>0.65278079999999994</v>
      </c>
      <c r="N72" s="67">
        <f t="shared" si="5"/>
        <v>0.32639039999999997</v>
      </c>
    </row>
    <row r="73" spans="1:14" ht="19">
      <c r="A73" s="68" t="str">
        <f>Main!A73</f>
        <v>Missing</v>
      </c>
      <c r="B73" s="67">
        <f>Main!C73</f>
        <v>1.6082586627603308</v>
      </c>
      <c r="C73" s="67">
        <f>Main!E73</f>
        <v>140</v>
      </c>
      <c r="E73" s="67">
        <f>Main!H73</f>
        <v>0.78045882806798406</v>
      </c>
      <c r="F73" s="67">
        <f>Main!R73</f>
        <v>0.14682310707850585</v>
      </c>
      <c r="G73" s="67">
        <f t="shared" si="6"/>
        <v>0.63363572098947818</v>
      </c>
      <c r="H73" s="67">
        <f t="shared" si="4"/>
        <v>0.31681786049473909</v>
      </c>
      <c r="K73" s="67">
        <f>Main!J73</f>
        <v>0.80985599999999991</v>
      </c>
      <c r="L73" s="67">
        <f>Main!V73</f>
        <v>0.1639872</v>
      </c>
      <c r="M73" s="67">
        <f t="shared" si="7"/>
        <v>0.64586879999999991</v>
      </c>
      <c r="N73" s="67">
        <f t="shared" si="5"/>
        <v>0.32293439999999995</v>
      </c>
    </row>
    <row r="74" spans="1:14" ht="19">
      <c r="A74" s="68">
        <f>Main!A74</f>
        <v>112</v>
      </c>
      <c r="B74" s="67">
        <f>Main!C74</f>
        <v>1.5873721866205863</v>
      </c>
      <c r="C74" s="67">
        <f>Main!E74</f>
        <v>140</v>
      </c>
      <c r="E74" s="67">
        <f>Main!H74</f>
        <v>0.76031880433811372</v>
      </c>
      <c r="F74" s="67">
        <f>Main!R74</f>
        <v>0.14108470859424163</v>
      </c>
      <c r="G74" s="67">
        <f t="shared" si="6"/>
        <v>0.61923409574387211</v>
      </c>
      <c r="H74" s="67">
        <f t="shared" si="4"/>
        <v>0.30961704787193606</v>
      </c>
      <c r="K74" s="67">
        <f>Main!J74</f>
        <v>0.78998400000000002</v>
      </c>
      <c r="L74" s="67">
        <f>Main!V74</f>
        <v>0.1579392</v>
      </c>
      <c r="M74" s="67">
        <f t="shared" si="7"/>
        <v>0.63204480000000007</v>
      </c>
      <c r="N74" s="67">
        <f t="shared" si="5"/>
        <v>0.31602240000000004</v>
      </c>
    </row>
    <row r="75" spans="1:14" ht="19">
      <c r="A75" s="68">
        <f>Main!A75</f>
        <v>33</v>
      </c>
      <c r="B75" s="67">
        <f>Main!C75</f>
        <v>1.5310705525440331</v>
      </c>
      <c r="C75" s="67">
        <f>Main!E75</f>
        <v>140</v>
      </c>
      <c r="E75" s="67">
        <f>Main!H75</f>
        <v>0.70734063191190399</v>
      </c>
      <c r="F75" s="67">
        <f>Main!R75</f>
        <v>0.12618601531959553</v>
      </c>
      <c r="G75" s="67">
        <f t="shared" si="6"/>
        <v>0.58115461659230849</v>
      </c>
      <c r="H75" s="67">
        <f t="shared" si="4"/>
        <v>0.29057730829615425</v>
      </c>
      <c r="K75" s="67">
        <f>Main!J75</f>
        <v>0.7318079999999999</v>
      </c>
      <c r="L75" s="67">
        <f>Main!V75</f>
        <v>0.14042879999999999</v>
      </c>
      <c r="M75" s="67">
        <f t="shared" si="7"/>
        <v>0.59137919999999988</v>
      </c>
      <c r="N75" s="67">
        <f t="shared" si="5"/>
        <v>0.29568959999999994</v>
      </c>
    </row>
    <row r="76" spans="1:14" ht="19">
      <c r="A76" s="68">
        <f>Main!A76</f>
        <v>110</v>
      </c>
      <c r="B76" s="67">
        <f>Main!C76</f>
        <v>1.5247127582013524</v>
      </c>
      <c r="C76" s="67">
        <f>Main!E76</f>
        <v>140</v>
      </c>
      <c r="E76" s="67">
        <f>Main!H76</f>
        <v>0.70147834285280586</v>
      </c>
      <c r="F76" s="67">
        <f>Main!R76</f>
        <v>0.12455582632331869</v>
      </c>
      <c r="G76" s="67">
        <f t="shared" si="6"/>
        <v>0.57692251652948712</v>
      </c>
      <c r="H76" s="67">
        <f t="shared" si="4"/>
        <v>0.28846125826474356</v>
      </c>
      <c r="K76" s="67">
        <f>Main!J76</f>
        <v>0.72236159999999994</v>
      </c>
      <c r="L76" s="67">
        <f>Main!V76</f>
        <v>0.13760640000000002</v>
      </c>
      <c r="M76" s="67">
        <f t="shared" si="7"/>
        <v>0.58475519999999992</v>
      </c>
      <c r="N76" s="67">
        <f t="shared" si="5"/>
        <v>0.29237759999999996</v>
      </c>
    </row>
    <row r="77" spans="1:14" ht="19">
      <c r="A77" s="68">
        <f>Main!A77</f>
        <v>60</v>
      </c>
      <c r="B77" s="67">
        <f>Main!C77</f>
        <v>1.4896902673401402</v>
      </c>
      <c r="C77" s="67">
        <f>Main!E77</f>
        <v>140</v>
      </c>
      <c r="E77" s="67">
        <f>Main!H77</f>
        <v>0.6696226873322334</v>
      </c>
      <c r="F77" s="67">
        <f>Main!R77</f>
        <v>0.11576578030911791</v>
      </c>
      <c r="G77" s="67">
        <f t="shared" si="6"/>
        <v>0.55385690702311552</v>
      </c>
      <c r="H77" s="67">
        <f t="shared" si="4"/>
        <v>0.27692845351155776</v>
      </c>
      <c r="K77" s="67">
        <f>Main!J77</f>
        <v>0.69431039999999999</v>
      </c>
      <c r="L77" s="67">
        <f>Main!V77</f>
        <v>0.1293696</v>
      </c>
      <c r="M77" s="67">
        <f t="shared" si="7"/>
        <v>0.56494080000000002</v>
      </c>
      <c r="N77" s="67">
        <f t="shared" si="5"/>
        <v>0.28247040000000001</v>
      </c>
    </row>
    <row r="78" spans="1:14" ht="19">
      <c r="A78" s="68" t="str">
        <f>Main!A78</f>
        <v>Missing</v>
      </c>
      <c r="B78" s="67">
        <f>Main!C78</f>
        <v>1.470591674169113</v>
      </c>
      <c r="C78" s="67">
        <f>Main!E78</f>
        <v>140</v>
      </c>
      <c r="E78" s="67">
        <f>Main!H78</f>
        <v>0.6525629377371488</v>
      </c>
      <c r="F78" s="67">
        <f>Main!R78</f>
        <v>0.11110787244366736</v>
      </c>
      <c r="G78" s="67">
        <f t="shared" si="6"/>
        <v>0.54145506529348142</v>
      </c>
      <c r="H78" s="67">
        <f t="shared" si="4"/>
        <v>0.27072753264674071</v>
      </c>
      <c r="K78" s="67">
        <f>Main!J78</f>
        <v>0.67593599999999987</v>
      </c>
      <c r="L78" s="67">
        <f>Main!V78</f>
        <v>0.1239552</v>
      </c>
      <c r="M78" s="67">
        <f t="shared" si="7"/>
        <v>0.55198079999999983</v>
      </c>
      <c r="N78" s="67">
        <f t="shared" si="5"/>
        <v>0.27599039999999991</v>
      </c>
    </row>
    <row r="79" spans="1:14" ht="19">
      <c r="A79" s="68">
        <f>Main!A79</f>
        <v>75</v>
      </c>
      <c r="B79" s="67">
        <f>Main!C79</f>
        <v>1.3560001151429482</v>
      </c>
      <c r="C79" s="67">
        <f>Main!E79</f>
        <v>140</v>
      </c>
      <c r="E79" s="67">
        <f>Main!H79</f>
        <v>0.55482708199240438</v>
      </c>
      <c r="F79" s="67">
        <f>Main!R79</f>
        <v>8.5168883423537109E-2</v>
      </c>
      <c r="G79" s="67">
        <f t="shared" si="6"/>
        <v>0.46965819856886726</v>
      </c>
      <c r="H79" s="67">
        <f t="shared" si="4"/>
        <v>0.23482909928443363</v>
      </c>
      <c r="K79" s="67">
        <f>Main!J79</f>
        <v>0.57922560000000001</v>
      </c>
      <c r="L79" s="67">
        <f>Main!V79</f>
        <v>9.6479999999999996E-2</v>
      </c>
      <c r="M79" s="67">
        <f t="shared" si="7"/>
        <v>0.4827456</v>
      </c>
      <c r="N79" s="67">
        <f t="shared" si="5"/>
        <v>0.2413728</v>
      </c>
    </row>
    <row r="80" spans="1:14" ht="19">
      <c r="D80" s="70" t="s">
        <v>43</v>
      </c>
      <c r="E80" s="71">
        <f>Main!H81</f>
        <v>156.13391479112514</v>
      </c>
      <c r="F80" s="72">
        <f>Main!R81</f>
        <v>23.872971755259062</v>
      </c>
      <c r="G80" s="72">
        <f>E80-F80</f>
        <v>132.26094303586606</v>
      </c>
      <c r="H80" s="71">
        <f t="shared" si="4"/>
        <v>66.130471517933032</v>
      </c>
      <c r="K80" s="72">
        <f>Main!J81</f>
        <v>160.53010559999998</v>
      </c>
      <c r="L80" s="72">
        <f>Main!V81</f>
        <v>26.299526399999994</v>
      </c>
      <c r="M80" s="72">
        <f>K80-L80</f>
        <v>134.23057919999999</v>
      </c>
      <c r="N80" s="71">
        <f t="shared" si="5"/>
        <v>67.115289599999997</v>
      </c>
    </row>
    <row r="81" spans="3:14" ht="19">
      <c r="D81" s="92" t="s">
        <v>44</v>
      </c>
      <c r="E81" s="93">
        <f>E80*E92</f>
        <v>141.64375831545419</v>
      </c>
      <c r="F81" s="93">
        <f>F80*E92</f>
        <v>21.657417903709575</v>
      </c>
      <c r="G81" s="93">
        <f>G80*E92</f>
        <v>119.98634041174461</v>
      </c>
      <c r="H81" s="93">
        <f>H80*E92</f>
        <v>59.993170205872303</v>
      </c>
      <c r="K81" s="73">
        <f>K80*K92</f>
        <v>145.63195645468565</v>
      </c>
      <c r="L81" s="73">
        <f>L80*K92</f>
        <v>23.858773836523628</v>
      </c>
      <c r="M81" s="73">
        <f>M80*K92</f>
        <v>121.77318261816202</v>
      </c>
      <c r="N81" s="73">
        <f>N80*K92</f>
        <v>60.886591309081012</v>
      </c>
    </row>
    <row r="82" spans="3:14" ht="17" thickBot="1"/>
    <row r="83" spans="3:14" ht="20" thickBot="1">
      <c r="C83" s="265" t="s">
        <v>127</v>
      </c>
      <c r="D83" s="94"/>
      <c r="E83" s="94"/>
      <c r="F83" s="94"/>
      <c r="G83" s="94"/>
      <c r="H83" s="91"/>
      <c r="I83" s="265" t="s">
        <v>128</v>
      </c>
      <c r="J83" s="94"/>
      <c r="K83" s="94"/>
      <c r="L83" s="94"/>
      <c r="M83" s="259"/>
      <c r="N83" s="260"/>
    </row>
    <row r="84" spans="3:14" ht="27" thickBot="1">
      <c r="C84" s="264" t="s">
        <v>46</v>
      </c>
      <c r="D84" s="231" t="s">
        <v>126</v>
      </c>
      <c r="E84" s="79"/>
      <c r="F84" s="235">
        <f>U27</f>
        <v>143.5450734706036</v>
      </c>
      <c r="G84" s="231" t="s">
        <v>122</v>
      </c>
      <c r="H84" s="232"/>
      <c r="I84" s="83" t="str">
        <f>C84</f>
        <v>Imperial</v>
      </c>
      <c r="J84" s="78" t="str">
        <f>D84</f>
        <v>Projected 50-yr/stem acre density ---&gt;</v>
      </c>
      <c r="K84" s="79"/>
      <c r="L84" s="262">
        <f>F84</f>
        <v>143.5450734706036</v>
      </c>
      <c r="M84" s="78" t="str">
        <f>G84</f>
        <v>&lt;-- density from 3 sources</v>
      </c>
      <c r="N84" s="232"/>
    </row>
    <row r="85" spans="3:14" ht="90" thickBot="1">
      <c r="C85" s="88"/>
      <c r="D85" s="231" t="s">
        <v>123</v>
      </c>
      <c r="E85" s="79"/>
      <c r="F85" s="235">
        <f>ROW(A79)-ROW(A3)</f>
        <v>76</v>
      </c>
      <c r="G85" s="230" t="s">
        <v>100</v>
      </c>
      <c r="H85" s="230" t="s">
        <v>42</v>
      </c>
      <c r="I85" s="88"/>
      <c r="J85" s="78" t="str">
        <f>D85</f>
        <v>Current stem count ------&gt;</v>
      </c>
      <c r="K85" s="79"/>
      <c r="L85" s="79">
        <f>F85</f>
        <v>76</v>
      </c>
      <c r="M85" s="230" t="s">
        <v>100</v>
      </c>
      <c r="N85" s="261" t="s">
        <v>42</v>
      </c>
    </row>
    <row r="86" spans="3:14" ht="22" thickBot="1">
      <c r="C86" s="88"/>
      <c r="D86" s="263" t="s">
        <v>125</v>
      </c>
      <c r="E86" s="81"/>
      <c r="F86" s="234">
        <f>V35</f>
        <v>47.177475654554122</v>
      </c>
      <c r="G86" s="82">
        <f>E80-F86</f>
        <v>108.95643913657102</v>
      </c>
      <c r="H86" s="42">
        <f t="shared" ref="H86" si="8">G86/2</f>
        <v>54.47821956828551</v>
      </c>
      <c r="I86" s="88"/>
      <c r="J86" s="80" t="str">
        <f>D86</f>
        <v>Projected Carbon tons at 50 yrs ---&gt;</v>
      </c>
      <c r="K86" s="81"/>
      <c r="L86" s="95">
        <f>AB35</f>
        <v>52.885532326892729</v>
      </c>
      <c r="M86" s="82">
        <f>K80-L86</f>
        <v>107.64457327310726</v>
      </c>
      <c r="N86" s="42">
        <f t="shared" ref="N86" si="9">M86/2</f>
        <v>53.822286636553628</v>
      </c>
    </row>
    <row r="87" spans="3:14" ht="17" thickBot="1">
      <c r="C87" s="88"/>
      <c r="D87" s="86"/>
      <c r="E87" s="86"/>
      <c r="F87" s="86"/>
      <c r="G87" s="86"/>
      <c r="H87" s="87"/>
      <c r="I87" s="88"/>
      <c r="J87" s="86"/>
      <c r="K87" s="86"/>
      <c r="L87" s="86"/>
      <c r="M87" s="86"/>
      <c r="N87" s="87"/>
    </row>
    <row r="88" spans="3:14" ht="89" thickBot="1">
      <c r="C88" s="182" t="s">
        <v>57</v>
      </c>
      <c r="D88" s="182" t="s">
        <v>126</v>
      </c>
      <c r="E88" s="182"/>
      <c r="F88" s="227">
        <f>F84</f>
        <v>143.5450734706036</v>
      </c>
      <c r="G88" s="233" t="s">
        <v>100</v>
      </c>
      <c r="H88" s="65" t="s">
        <v>42</v>
      </c>
      <c r="I88" s="30" t="str">
        <f>C88</f>
        <v>Metric</v>
      </c>
      <c r="J88" s="76" t="str">
        <f>D88</f>
        <v>Projected 50-yr/stem acre density ---&gt;</v>
      </c>
      <c r="K88" s="77"/>
      <c r="L88" s="227">
        <f>F84</f>
        <v>143.5450734706036</v>
      </c>
      <c r="M88" s="233" t="s">
        <v>100</v>
      </c>
      <c r="N88" s="65" t="s">
        <v>42</v>
      </c>
    </row>
    <row r="89" spans="3:14" ht="20" thickBot="1">
      <c r="C89" s="88"/>
      <c r="D89" s="205" t="s">
        <v>45</v>
      </c>
      <c r="E89" s="75"/>
      <c r="F89" s="75">
        <f>F85</f>
        <v>76</v>
      </c>
      <c r="G89" s="86"/>
      <c r="H89" s="87"/>
      <c r="I89" s="88"/>
      <c r="J89" s="74" t="str">
        <f>D89</f>
        <v>Current density</v>
      </c>
      <c r="K89" s="75"/>
      <c r="L89" s="75">
        <f>F85</f>
        <v>76</v>
      </c>
      <c r="M89" s="86"/>
      <c r="N89" s="87"/>
    </row>
    <row r="90" spans="3:14" ht="20" thickBot="1">
      <c r="C90" s="88"/>
      <c r="D90" s="205" t="s">
        <v>124</v>
      </c>
      <c r="E90" s="75"/>
      <c r="F90" s="96">
        <f>V39</f>
        <v>42.799125151550513</v>
      </c>
      <c r="G90" s="97">
        <f>(E81-F90)</f>
        <v>98.84463316390368</v>
      </c>
      <c r="H90" s="98">
        <f>(G90/2)</f>
        <v>49.42231658195184</v>
      </c>
      <c r="I90" s="88"/>
      <c r="J90" s="74" t="str">
        <f>D90</f>
        <v>Projected Carbon tonnes at 50 yrs</v>
      </c>
      <c r="K90" s="75"/>
      <c r="L90" s="96">
        <f>AB39</f>
        <v>47.977440194949409</v>
      </c>
      <c r="M90" s="97">
        <f>(K81-L90)</f>
        <v>97.654516259736241</v>
      </c>
      <c r="N90" s="98">
        <f>(M90/2)</f>
        <v>48.82725812986812</v>
      </c>
    </row>
    <row r="91" spans="3:14" ht="17" thickBot="1">
      <c r="C91" s="88"/>
      <c r="D91" s="86"/>
      <c r="E91" s="86"/>
      <c r="F91" s="86"/>
      <c r="G91" s="86"/>
      <c r="H91" s="87"/>
      <c r="I91" s="88"/>
      <c r="J91" s="86"/>
      <c r="K91" s="86"/>
      <c r="L91" s="86"/>
      <c r="M91" s="86"/>
      <c r="N91" s="87"/>
    </row>
    <row r="92" spans="3:14" ht="20" thickBot="1">
      <c r="C92" s="265" t="s">
        <v>47</v>
      </c>
      <c r="D92" s="266"/>
      <c r="E92" s="266">
        <f>2000/2204.6</f>
        <v>0.90719404880703991</v>
      </c>
      <c r="F92" s="89"/>
      <c r="G92" s="89"/>
      <c r="H92" s="90"/>
      <c r="I92" s="60" t="str">
        <f>C92</f>
        <v>Metric Conv Fac</v>
      </c>
      <c r="J92" s="91"/>
      <c r="K92" s="91">
        <f>E92</f>
        <v>0.90719404880703991</v>
      </c>
      <c r="L92" s="89"/>
      <c r="M92" s="89"/>
      <c r="N92" s="90"/>
    </row>
    <row r="93" spans="3:14" ht="17" thickBot="1"/>
    <row r="94" spans="3:14" ht="20" thickBot="1">
      <c r="C94" s="139" t="s">
        <v>129</v>
      </c>
      <c r="D94" s="270"/>
      <c r="E94" s="270"/>
      <c r="F94" s="270"/>
      <c r="G94" s="270"/>
      <c r="H94" s="140"/>
      <c r="I94" s="139" t="s">
        <v>130</v>
      </c>
      <c r="J94" s="270"/>
      <c r="K94" s="270"/>
      <c r="L94" s="270"/>
      <c r="M94" s="270"/>
      <c r="N94" s="140"/>
    </row>
    <row r="95" spans="3:14" ht="22" thickBot="1">
      <c r="C95" s="268" t="s">
        <v>133</v>
      </c>
      <c r="D95" s="269"/>
      <c r="E95" s="86"/>
      <c r="F95" s="86"/>
      <c r="G95" s="147" t="s">
        <v>131</v>
      </c>
      <c r="H95" s="271" t="s">
        <v>132</v>
      </c>
      <c r="I95" s="268" t="str">
        <f>C95</f>
        <v>Per Acre Calculations at 150</v>
      </c>
      <c r="J95" s="269"/>
      <c r="K95" s="86"/>
      <c r="L95" s="86"/>
      <c r="M95" s="147" t="str">
        <f>G95</f>
        <v>at 150 yrs</v>
      </c>
      <c r="N95" s="271" t="str">
        <f>H95</f>
        <v>at 50 yrs</v>
      </c>
    </row>
    <row r="96" spans="3:14" ht="20" thickBot="1">
      <c r="C96" s="88"/>
      <c r="D96" s="137" t="s">
        <v>48</v>
      </c>
      <c r="E96" s="103" t="s">
        <v>49</v>
      </c>
      <c r="F96" s="103" t="s">
        <v>50</v>
      </c>
      <c r="G96" s="104" t="s">
        <v>51</v>
      </c>
      <c r="H96" s="272" t="str">
        <f>G96</f>
        <v>Tons/acre</v>
      </c>
      <c r="I96" s="254"/>
      <c r="J96" s="102" t="str">
        <f>D96</f>
        <v>Tot Tons</v>
      </c>
      <c r="K96" s="103" t="str">
        <f>E96</f>
        <v>Tot Stem count</v>
      </c>
      <c r="L96" s="103" t="str">
        <f>F96</f>
        <v>Stems/acre</v>
      </c>
      <c r="M96" s="104" t="str">
        <f>G96</f>
        <v>Tons/acre</v>
      </c>
      <c r="N96" s="272" t="str">
        <f>H96</f>
        <v>Tons/acre</v>
      </c>
    </row>
    <row r="97" spans="3:14" ht="25" thickBot="1">
      <c r="C97" s="106" t="s">
        <v>43</v>
      </c>
      <c r="D97" s="105">
        <f>E80</f>
        <v>156.13391479112514</v>
      </c>
      <c r="E97" s="100">
        <f>F85</f>
        <v>76</v>
      </c>
      <c r="F97" s="267">
        <v>44</v>
      </c>
      <c r="G97" s="101">
        <f>D97*F97/E97</f>
        <v>90.393319089598762</v>
      </c>
      <c r="H97" s="101">
        <f>F86*F97/E97</f>
        <v>27.313275378952383</v>
      </c>
      <c r="I97" s="106" t="s">
        <v>43</v>
      </c>
      <c r="J97" s="105">
        <f>K80</f>
        <v>160.53010559999998</v>
      </c>
      <c r="K97" s="100">
        <f>F85</f>
        <v>76</v>
      </c>
      <c r="L97" s="100">
        <f>F97</f>
        <v>44</v>
      </c>
      <c r="M97" s="101">
        <f>J97*L97/K97</f>
        <v>92.938482189473675</v>
      </c>
      <c r="N97" s="101">
        <f>L86*F97/76</f>
        <v>30.617939768201051</v>
      </c>
    </row>
    <row r="98" spans="3:14" ht="17" thickBot="1">
      <c r="C98" s="30" t="s">
        <v>44</v>
      </c>
      <c r="D98" s="97">
        <f>E81</f>
        <v>141.64375831545419</v>
      </c>
      <c r="E98" s="97">
        <f>F85</f>
        <v>76</v>
      </c>
      <c r="F98" s="97">
        <f>F97</f>
        <v>44</v>
      </c>
      <c r="G98" s="97">
        <f>D98*F98/E98</f>
        <v>82.004281129999796</v>
      </c>
      <c r="H98" s="97">
        <f>H97*E92</f>
        <v>24.778440877213448</v>
      </c>
      <c r="I98" s="30" t="s">
        <v>44</v>
      </c>
      <c r="J98" s="97">
        <f>K81</f>
        <v>145.63195645468565</v>
      </c>
      <c r="K98" s="97">
        <f>F85</f>
        <v>76</v>
      </c>
      <c r="L98" s="97">
        <f>F97</f>
        <v>44</v>
      </c>
      <c r="M98" s="97">
        <f>J98*L98/K98</f>
        <v>84.313237947449593</v>
      </c>
      <c r="N98" s="97">
        <f>L90*F97/76</f>
        <v>27.776412744444393</v>
      </c>
    </row>
    <row r="128" spans="26:26">
      <c r="Z128" s="200"/>
    </row>
    <row r="129" spans="26:26">
      <c r="Z129" s="200"/>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D2975-49B2-254A-9225-FBE34F9F846E}">
  <dimension ref="A1"/>
  <sheetViews>
    <sheetView workbookViewId="0">
      <selection activeCell="Q49" sqref="Q49"/>
    </sheetView>
  </sheetViews>
  <sheetFormatPr baseColWidth="10" defaultRowHeight="16"/>
  <sheetData/>
  <sheetProtection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Explanation</vt:lpstr>
      <vt:lpstr>Main</vt:lpstr>
      <vt:lpstr>Carbon Summaries</vt:lpstr>
      <vt:lpstr>StandDensities-FIADB</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Microsoft Office User</cp:lastModifiedBy>
  <dcterms:created xsi:type="dcterms:W3CDTF">2018-10-07T22:34:25Z</dcterms:created>
  <dcterms:modified xsi:type="dcterms:W3CDTF">2019-12-02T15:15:00Z</dcterms:modified>
  <cp:category/>
</cp:coreProperties>
</file>