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VOLUMES-TRUNK&amp;LIMBS/"/>
    </mc:Choice>
  </mc:AlternateContent>
  <xr:revisionPtr revIDLastSave="0" documentId="13_ncr:1_{6389CEF5-AAFB-B744-A09A-F75F78538BBF}" xr6:coauthVersionLast="36" xr6:coauthVersionMax="36" xr10:uidLastSave="{00000000-0000-0000-0000-000000000000}"/>
  <bookViews>
    <workbookView xWindow="4180" yWindow="480" windowWidth="47020" windowHeight="27180" activeTab="2" xr2:uid="{A1C77360-DEB5-B049-96C3-48C98E2D7266}"/>
  </bookViews>
  <sheets>
    <sheet name="Introduction" sheetId="8" r:id="rId1"/>
    <sheet name="Explanation" sheetId="6" r:id="rId2"/>
    <sheet name="Constructions" sheetId="1" r:id="rId3"/>
    <sheet name="Sheet1" sheetId="10" r:id="rId4"/>
    <sheet name="40-yr tree class summary" sheetId="9" r:id="rId5"/>
    <sheet name="Biomass" sheetId="2" r:id="rId6"/>
    <sheet name="Coeff_1" sheetId="3" r:id="rId7"/>
    <sheet name="Coeff_2" sheetId="4" r:id="rId8"/>
    <sheet name="Annual 20Yr Growth-from 10 " sheetId="5" r:id="rId9"/>
    <sheet name="Average Tree" sheetId="7" r:id="rId10"/>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S14" i="1" l="1"/>
  <c r="BS13" i="1"/>
  <c r="BS12" i="1"/>
  <c r="BS11" i="1"/>
  <c r="BS10" i="1"/>
  <c r="BS9" i="1"/>
  <c r="BS8" i="1"/>
  <c r="BS7" i="1"/>
  <c r="BS6" i="1"/>
  <c r="BS5" i="1"/>
  <c r="BS4" i="1"/>
  <c r="BR14" i="1"/>
  <c r="BR13" i="1"/>
  <c r="BR12" i="1"/>
  <c r="BR11" i="1"/>
  <c r="BR10" i="1"/>
  <c r="BR9" i="1"/>
  <c r="BR8" i="1"/>
  <c r="BR7" i="1"/>
  <c r="BR6" i="1"/>
  <c r="BR5" i="1"/>
  <c r="BR4" i="1"/>
  <c r="BR3" i="1"/>
  <c r="AG14" i="1" l="1"/>
  <c r="AG13" i="1"/>
  <c r="AG12" i="1"/>
  <c r="AG11" i="1"/>
  <c r="AG10" i="1"/>
  <c r="AG9" i="1"/>
  <c r="AG8" i="1"/>
  <c r="AG7" i="1"/>
  <c r="AG6" i="1"/>
  <c r="AG5" i="1"/>
  <c r="AG4" i="1"/>
  <c r="AH13" i="1"/>
  <c r="AH12" i="1"/>
  <c r="AH11" i="1"/>
  <c r="AH10" i="1"/>
  <c r="AF10" i="1"/>
  <c r="AH9" i="1"/>
  <c r="AF9" i="1"/>
  <c r="AH8" i="1"/>
  <c r="AF8" i="1"/>
  <c r="AH7" i="1"/>
  <c r="AF7" i="1"/>
  <c r="AH6" i="1"/>
  <c r="AF6" i="1"/>
  <c r="AH5" i="1"/>
  <c r="AF5" i="1"/>
  <c r="AH4" i="1"/>
  <c r="AF4" i="1"/>
  <c r="AE13" i="1"/>
  <c r="AE12" i="1"/>
  <c r="AE11" i="1"/>
  <c r="AE10" i="1"/>
  <c r="AE9" i="1"/>
  <c r="AE8" i="1"/>
  <c r="AE7" i="1"/>
  <c r="AE6" i="1"/>
  <c r="AE5" i="1"/>
  <c r="AE4" i="1"/>
  <c r="AD14" i="1"/>
  <c r="AD13" i="1"/>
  <c r="AD12" i="1"/>
  <c r="AD11" i="1"/>
  <c r="AD10" i="1"/>
  <c r="AD9" i="1"/>
  <c r="AD8" i="1"/>
  <c r="AD7" i="1"/>
  <c r="AD6" i="1"/>
  <c r="AD5" i="1"/>
  <c r="AD4" i="1"/>
  <c r="AC14" i="1"/>
  <c r="AC13" i="1"/>
  <c r="AC12" i="1"/>
  <c r="AC11" i="1"/>
  <c r="AC10" i="1"/>
  <c r="AC9" i="1"/>
  <c r="AC8" i="1"/>
  <c r="AC7" i="1"/>
  <c r="AC6" i="1"/>
  <c r="AC5" i="1"/>
  <c r="AC4" i="1"/>
  <c r="T43" i="9" l="1"/>
  <c r="T28" i="9"/>
  <c r="W46" i="9"/>
  <c r="V46" i="9"/>
  <c r="U46" i="9"/>
  <c r="R46" i="9"/>
  <c r="Q46" i="9"/>
  <c r="P46" i="9"/>
  <c r="W45" i="9"/>
  <c r="V45" i="9"/>
  <c r="U45" i="9"/>
  <c r="R45" i="9"/>
  <c r="Q45" i="9"/>
  <c r="P45" i="9"/>
  <c r="W44" i="9"/>
  <c r="V44" i="9"/>
  <c r="U44" i="9"/>
  <c r="R44" i="9"/>
  <c r="Q44" i="9"/>
  <c r="P44" i="9"/>
  <c r="W43" i="9"/>
  <c r="V43" i="9"/>
  <c r="U43" i="9"/>
  <c r="R43" i="9"/>
  <c r="Q43" i="9"/>
  <c r="P43" i="9"/>
  <c r="O43" i="9"/>
  <c r="W42" i="9"/>
  <c r="V42" i="9"/>
  <c r="U42" i="9"/>
  <c r="T42" i="9"/>
  <c r="R42" i="9"/>
  <c r="Q42" i="9"/>
  <c r="P42" i="9"/>
  <c r="O42" i="9"/>
  <c r="W39" i="9"/>
  <c r="V39" i="9"/>
  <c r="U39" i="9"/>
  <c r="R39" i="9"/>
  <c r="Q39" i="9"/>
  <c r="P39" i="9"/>
  <c r="W38" i="9"/>
  <c r="V38" i="9"/>
  <c r="U38" i="9"/>
  <c r="R38" i="9"/>
  <c r="Q38" i="9"/>
  <c r="P38" i="9"/>
  <c r="W37" i="9"/>
  <c r="V37" i="9"/>
  <c r="U37" i="9"/>
  <c r="R37" i="9"/>
  <c r="Q37" i="9"/>
  <c r="P37" i="9"/>
  <c r="W36" i="9"/>
  <c r="V36" i="9"/>
  <c r="U36" i="9"/>
  <c r="T36" i="9"/>
  <c r="R36" i="9"/>
  <c r="Q36" i="9"/>
  <c r="P36" i="9"/>
  <c r="O36" i="9"/>
  <c r="O35" i="9"/>
  <c r="W32" i="9"/>
  <c r="V32" i="9"/>
  <c r="U32" i="9"/>
  <c r="R32" i="9"/>
  <c r="Q32" i="9"/>
  <c r="P32" i="9"/>
  <c r="W31" i="9"/>
  <c r="V31" i="9"/>
  <c r="U31" i="9"/>
  <c r="R31" i="9"/>
  <c r="Q31" i="9"/>
  <c r="P31" i="9"/>
  <c r="W30" i="9"/>
  <c r="V30" i="9"/>
  <c r="U30" i="9"/>
  <c r="R30" i="9"/>
  <c r="Q30" i="9"/>
  <c r="P30" i="9"/>
  <c r="W29" i="9"/>
  <c r="V29" i="9"/>
  <c r="U29" i="9"/>
  <c r="T29" i="9"/>
  <c r="R29" i="9"/>
  <c r="Q29" i="9"/>
  <c r="P29" i="9"/>
  <c r="O29" i="9"/>
  <c r="O28" i="9"/>
  <c r="AY33" i="1" l="1"/>
  <c r="AY34" i="1" s="1"/>
  <c r="AY35" i="1" s="1"/>
  <c r="AY36" i="1" s="1"/>
  <c r="AY37" i="1" s="1"/>
  <c r="AY38" i="1" s="1"/>
  <c r="AY39" i="1" s="1"/>
  <c r="AY40" i="1" s="1"/>
  <c r="AY32" i="1"/>
  <c r="BE50" i="1"/>
  <c r="BF50" i="1" s="1"/>
  <c r="BD50" i="1"/>
  <c r="BC50" i="1"/>
  <c r="BB50" i="1"/>
  <c r="BA50" i="1"/>
  <c r="AZ50" i="1"/>
  <c r="BE49" i="1"/>
  <c r="BD49" i="1"/>
  <c r="BC49" i="1"/>
  <c r="BB49" i="1"/>
  <c r="BA49" i="1"/>
  <c r="AZ49" i="1"/>
  <c r="BE48" i="1"/>
  <c r="BF48" i="1" s="1"/>
  <c r="BI48" i="1" s="1"/>
  <c r="BD48" i="1"/>
  <c r="BC48" i="1"/>
  <c r="BB48" i="1"/>
  <c r="BA48" i="1"/>
  <c r="AZ48" i="1"/>
  <c r="BE47" i="1"/>
  <c r="BF47" i="1" s="1"/>
  <c r="BI47" i="1" s="1"/>
  <c r="BD47" i="1"/>
  <c r="BC47" i="1"/>
  <c r="BB47" i="1"/>
  <c r="BA47" i="1"/>
  <c r="AZ47" i="1"/>
  <c r="BE46" i="1"/>
  <c r="BF46" i="1" s="1"/>
  <c r="BD46" i="1"/>
  <c r="BC46" i="1"/>
  <c r="BB46" i="1"/>
  <c r="BA46" i="1"/>
  <c r="AZ46" i="1"/>
  <c r="BE45" i="1"/>
  <c r="BD45" i="1"/>
  <c r="BC45" i="1"/>
  <c r="BB45" i="1"/>
  <c r="BA45" i="1"/>
  <c r="AZ45" i="1"/>
  <c r="BE44" i="1"/>
  <c r="BF44" i="1" s="1"/>
  <c r="BI44" i="1" s="1"/>
  <c r="BD44" i="1"/>
  <c r="BC44" i="1"/>
  <c r="BB44" i="1"/>
  <c r="BA44" i="1"/>
  <c r="AZ44" i="1"/>
  <c r="BE43" i="1"/>
  <c r="BF43" i="1" s="1"/>
  <c r="BI43" i="1" s="1"/>
  <c r="BD43" i="1"/>
  <c r="BC43" i="1"/>
  <c r="BB43" i="1"/>
  <c r="BA43" i="1"/>
  <c r="AZ43" i="1"/>
  <c r="BE42" i="1"/>
  <c r="BF42" i="1" s="1"/>
  <c r="BD42" i="1"/>
  <c r="BC42" i="1"/>
  <c r="BB42" i="1"/>
  <c r="BA42" i="1"/>
  <c r="AZ42" i="1"/>
  <c r="BE41" i="1"/>
  <c r="BD41" i="1"/>
  <c r="BC41" i="1"/>
  <c r="BB41" i="1"/>
  <c r="BA41" i="1"/>
  <c r="AZ41" i="1"/>
  <c r="BE40" i="1"/>
  <c r="BF40" i="1" s="1"/>
  <c r="BI40" i="1" s="1"/>
  <c r="BD40" i="1"/>
  <c r="BC40" i="1"/>
  <c r="BB40" i="1"/>
  <c r="BA40" i="1"/>
  <c r="AZ40" i="1"/>
  <c r="BE39" i="1"/>
  <c r="BF39" i="1" s="1"/>
  <c r="BI39" i="1" s="1"/>
  <c r="BD39" i="1"/>
  <c r="BC39" i="1"/>
  <c r="BB39" i="1"/>
  <c r="BA39" i="1"/>
  <c r="AZ39" i="1"/>
  <c r="BE38" i="1"/>
  <c r="BF38" i="1" s="1"/>
  <c r="BD38" i="1"/>
  <c r="BC38" i="1"/>
  <c r="BB38" i="1"/>
  <c r="BA38" i="1"/>
  <c r="AZ38" i="1"/>
  <c r="BG40" i="1" l="1"/>
  <c r="BG44" i="1"/>
  <c r="BG38" i="1"/>
  <c r="BI38" i="1"/>
  <c r="BG42" i="1"/>
  <c r="BI42" i="1"/>
  <c r="BG50" i="1"/>
  <c r="BI50" i="1"/>
  <c r="BF49" i="1"/>
  <c r="BG46" i="1"/>
  <c r="BI46" i="1"/>
  <c r="BG48" i="1"/>
  <c r="BF45" i="1"/>
  <c r="BF41" i="1"/>
  <c r="AY41" i="1"/>
  <c r="BG39" i="1"/>
  <c r="BG43" i="1"/>
  <c r="BG47" i="1"/>
  <c r="CI30" i="1"/>
  <c r="CI29" i="1"/>
  <c r="CG29" i="1"/>
  <c r="CI28" i="1"/>
  <c r="CH28" i="1"/>
  <c r="CG28" i="1"/>
  <c r="CI27" i="1"/>
  <c r="CH27" i="1"/>
  <c r="CG27" i="1"/>
  <c r="CI26" i="1"/>
  <c r="CH26" i="1"/>
  <c r="CG26" i="1"/>
  <c r="CF30" i="1"/>
  <c r="CF29" i="1"/>
  <c r="CF28" i="1"/>
  <c r="CF27" i="1"/>
  <c r="CI25" i="1"/>
  <c r="CH25" i="1"/>
  <c r="CG25" i="1"/>
  <c r="CF25" i="1"/>
  <c r="CF26" i="1"/>
  <c r="BG41" i="1" l="1"/>
  <c r="BI41" i="1"/>
  <c r="BG45" i="1"/>
  <c r="BI45" i="1"/>
  <c r="BG49" i="1"/>
  <c r="BI49" i="1"/>
  <c r="AY42" i="1"/>
  <c r="BC31" i="1"/>
  <c r="BE37" i="1"/>
  <c r="BE36" i="1"/>
  <c r="BE35" i="1"/>
  <c r="BE34" i="1"/>
  <c r="BE33" i="1"/>
  <c r="BE32" i="1"/>
  <c r="BB37" i="1"/>
  <c r="BB36" i="1"/>
  <c r="BB35" i="1"/>
  <c r="BB34" i="1"/>
  <c r="BB33" i="1"/>
  <c r="BB32" i="1"/>
  <c r="BD37" i="1"/>
  <c r="BD36" i="1"/>
  <c r="BD35" i="1"/>
  <c r="BD34" i="1"/>
  <c r="BD33" i="1"/>
  <c r="BD32" i="1"/>
  <c r="BE31" i="1"/>
  <c r="AY43" i="1" l="1"/>
  <c r="CE30" i="1"/>
  <c r="CE29" i="1"/>
  <c r="CE28" i="1"/>
  <c r="CE27" i="1"/>
  <c r="CE26" i="1"/>
  <c r="CJ29" i="1"/>
  <c r="CJ28" i="1"/>
  <c r="CJ27" i="1"/>
  <c r="CJ26" i="1"/>
  <c r="CD28" i="1"/>
  <c r="CD27" i="1"/>
  <c r="CD26" i="1"/>
  <c r="CC25" i="1"/>
  <c r="CC28" i="1"/>
  <c r="CC27" i="1"/>
  <c r="CC26" i="1"/>
  <c r="AY44" i="1" l="1"/>
  <c r="C4" i="10"/>
  <c r="B5" i="10"/>
  <c r="B4" i="10"/>
  <c r="H2" i="10"/>
  <c r="G8" i="10"/>
  <c r="E8" i="10"/>
  <c r="C8" i="10"/>
  <c r="F2" i="10"/>
  <c r="AY45" i="1" l="1"/>
  <c r="L47" i="9"/>
  <c r="K47" i="9"/>
  <c r="L46" i="9"/>
  <c r="K46" i="9"/>
  <c r="L45" i="9"/>
  <c r="K45" i="9"/>
  <c r="L44" i="9"/>
  <c r="K44" i="9"/>
  <c r="L43" i="9"/>
  <c r="K43" i="9"/>
  <c r="L40" i="9"/>
  <c r="K40" i="9"/>
  <c r="L39" i="9"/>
  <c r="K39" i="9"/>
  <c r="L38" i="9"/>
  <c r="K38" i="9"/>
  <c r="L37" i="9"/>
  <c r="K37" i="9"/>
  <c r="L36" i="9"/>
  <c r="K36" i="9"/>
  <c r="L33" i="9"/>
  <c r="K33" i="9"/>
  <c r="L32" i="9"/>
  <c r="K32" i="9"/>
  <c r="L31" i="9"/>
  <c r="K31" i="9"/>
  <c r="L30" i="9"/>
  <c r="K30" i="9"/>
  <c r="L29" i="9"/>
  <c r="K29" i="9"/>
  <c r="G47" i="9"/>
  <c r="F47" i="9"/>
  <c r="G46" i="9"/>
  <c r="F46" i="9"/>
  <c r="G45" i="9"/>
  <c r="F45" i="9"/>
  <c r="G44" i="9"/>
  <c r="F44" i="9"/>
  <c r="G43" i="9"/>
  <c r="F43" i="9"/>
  <c r="G40" i="9"/>
  <c r="F40" i="9"/>
  <c r="G39" i="9"/>
  <c r="F39" i="9"/>
  <c r="G38" i="9"/>
  <c r="F38" i="9"/>
  <c r="G37" i="9"/>
  <c r="F37" i="9"/>
  <c r="G36" i="9"/>
  <c r="F36" i="9"/>
  <c r="G33" i="9"/>
  <c r="G32" i="9"/>
  <c r="G31" i="9"/>
  <c r="G30" i="9"/>
  <c r="F33" i="9"/>
  <c r="F32" i="9"/>
  <c r="F31" i="9"/>
  <c r="F30" i="9"/>
  <c r="G29" i="9"/>
  <c r="F29" i="9"/>
  <c r="AY46" i="1" l="1"/>
  <c r="BJ17" i="1"/>
  <c r="BK17" i="1"/>
  <c r="BJ18" i="1"/>
  <c r="AY47" i="1" l="1"/>
  <c r="AW139" i="1"/>
  <c r="AY48" i="1" l="1"/>
  <c r="BV25" i="1"/>
  <c r="BV26" i="1"/>
  <c r="BV27" i="1"/>
  <c r="BV28" i="1"/>
  <c r="AY49" i="1" l="1"/>
  <c r="AW125" i="1"/>
  <c r="AW111" i="1"/>
  <c r="AV41" i="1"/>
  <c r="AU41" i="1" s="1"/>
  <c r="BE28" i="1"/>
  <c r="BK28" i="1" s="1"/>
  <c r="BE26" i="1"/>
  <c r="BK26" i="1" s="1"/>
  <c r="BE24" i="1"/>
  <c r="BK24" i="1" s="1"/>
  <c r="BE22" i="1"/>
  <c r="BK22" i="1" s="1"/>
  <c r="BE20" i="1"/>
  <c r="BK20" i="1" s="1"/>
  <c r="BF28" i="1"/>
  <c r="BJ28" i="1" s="1"/>
  <c r="BF26" i="1"/>
  <c r="BJ26" i="1" s="1"/>
  <c r="BF24" i="1"/>
  <c r="BJ24" i="1" s="1"/>
  <c r="BF22" i="1"/>
  <c r="BJ22" i="1" s="1"/>
  <c r="BF20" i="1"/>
  <c r="BJ20" i="1" s="1"/>
  <c r="AY50" i="1" l="1"/>
  <c r="BJ14" i="1"/>
  <c r="BJ13" i="1"/>
  <c r="BJ12" i="1"/>
  <c r="BJ11" i="1"/>
  <c r="BJ10" i="1"/>
  <c r="BJ9" i="1"/>
  <c r="BJ8" i="1"/>
  <c r="BJ7" i="1"/>
  <c r="BJ6" i="1"/>
  <c r="BJ5" i="1"/>
  <c r="BJ4" i="1"/>
  <c r="BJ3" i="1"/>
  <c r="L84" i="1" l="1"/>
  <c r="L83" i="1"/>
  <c r="L82" i="1"/>
  <c r="L81" i="1"/>
  <c r="L80" i="1"/>
  <c r="L79" i="1"/>
  <c r="L78" i="1"/>
  <c r="L77" i="1"/>
  <c r="L76" i="1"/>
  <c r="L75" i="1"/>
  <c r="L70" i="1"/>
  <c r="L69" i="1"/>
  <c r="L68" i="1"/>
  <c r="L67" i="1"/>
  <c r="L66" i="1"/>
  <c r="L65" i="1"/>
  <c r="L64" i="1"/>
  <c r="L63" i="1"/>
  <c r="L62" i="1"/>
  <c r="L61" i="1"/>
  <c r="L56" i="1"/>
  <c r="L55" i="1"/>
  <c r="L54" i="1"/>
  <c r="L53" i="1"/>
  <c r="L52" i="1"/>
  <c r="L51" i="1"/>
  <c r="L50" i="1"/>
  <c r="L49" i="1"/>
  <c r="L48" i="1"/>
  <c r="L47" i="1"/>
  <c r="L42" i="1"/>
  <c r="L41" i="1"/>
  <c r="L40" i="1"/>
  <c r="L39" i="1"/>
  <c r="L38" i="1"/>
  <c r="L37" i="1"/>
  <c r="L36" i="1"/>
  <c r="L35" i="1"/>
  <c r="L34" i="1"/>
  <c r="L33" i="1"/>
  <c r="L28" i="1"/>
  <c r="L27" i="1"/>
  <c r="L26" i="1"/>
  <c r="L25" i="1"/>
  <c r="L24" i="1"/>
  <c r="L23" i="1"/>
  <c r="L22" i="1"/>
  <c r="L21" i="1"/>
  <c r="L20" i="1"/>
  <c r="L19" i="1"/>
  <c r="L14" i="1"/>
  <c r="L13" i="1"/>
  <c r="L12" i="1"/>
  <c r="L11" i="1"/>
  <c r="L10" i="1"/>
  <c r="L9" i="1"/>
  <c r="L8" i="1"/>
  <c r="L7" i="1"/>
  <c r="L6" i="1"/>
  <c r="L5" i="1"/>
  <c r="G8" i="7" l="1"/>
  <c r="E8" i="7"/>
  <c r="G7" i="7"/>
  <c r="E7" i="7"/>
  <c r="J7" i="7" s="1"/>
  <c r="E6" i="7"/>
  <c r="J6" i="7" s="1"/>
  <c r="E5" i="7"/>
  <c r="J5" i="7" s="1"/>
  <c r="E4" i="7"/>
  <c r="J4" i="7" s="1"/>
  <c r="E3" i="7"/>
  <c r="J3" i="7" s="1"/>
  <c r="E9" i="7" l="1"/>
  <c r="J9" i="7" s="1"/>
  <c r="J8" i="7"/>
  <c r="AU139" i="1"/>
  <c r="AU125" i="1"/>
  <c r="AU111" i="1"/>
  <c r="AW97" i="1"/>
  <c r="AU97" i="1" s="1"/>
  <c r="AW83" i="1"/>
  <c r="AU83" i="1" s="1"/>
  <c r="AW69" i="1"/>
  <c r="AU69" i="1" s="1"/>
  <c r="AW55" i="1"/>
  <c r="AU55" i="1" s="1"/>
  <c r="AT133" i="1" l="1"/>
  <c r="AT132" i="1"/>
  <c r="AT131" i="1"/>
  <c r="AT119" i="1"/>
  <c r="AT118" i="1"/>
  <c r="AT117" i="1"/>
  <c r="AT105" i="1"/>
  <c r="AT104" i="1"/>
  <c r="AT103" i="1"/>
  <c r="AT91" i="1"/>
  <c r="G6" i="7" s="1"/>
  <c r="AT90" i="1"/>
  <c r="G5" i="7" s="1"/>
  <c r="AT89" i="1"/>
  <c r="AT77" i="1"/>
  <c r="AT76" i="1"/>
  <c r="AT75" i="1"/>
  <c r="AT63" i="1"/>
  <c r="AT62" i="1"/>
  <c r="AT61" i="1"/>
  <c r="AT49" i="1"/>
  <c r="AT48" i="1"/>
  <c r="AT47" i="1"/>
  <c r="AT35" i="1"/>
  <c r="AT34" i="1"/>
  <c r="AT33" i="1"/>
  <c r="AT21" i="1"/>
  <c r="AT20" i="1"/>
  <c r="AT19" i="1"/>
  <c r="AT7" i="1"/>
  <c r="AT6" i="1"/>
  <c r="AT5" i="1"/>
  <c r="AT130" i="1"/>
  <c r="AT46" i="1" l="1"/>
  <c r="AT74" i="1"/>
  <c r="G4" i="7"/>
  <c r="AT12" i="1"/>
  <c r="AT18" i="1"/>
  <c r="AT102" i="1"/>
  <c r="AT116" i="1"/>
  <c r="AT88" i="1"/>
  <c r="G3" i="7" s="1"/>
  <c r="AT60" i="1"/>
  <c r="AT4" i="1"/>
  <c r="AT11" i="1" s="1"/>
  <c r="AT95" i="1" l="1"/>
  <c r="BV30" i="1"/>
  <c r="BV29" i="1"/>
  <c r="BH4" i="1" l="1"/>
  <c r="BG4" i="1"/>
  <c r="BF4" i="1"/>
  <c r="BE4" i="1"/>
  <c r="BD4" i="1"/>
  <c r="BC4" i="1"/>
  <c r="Q233" i="1"/>
  <c r="R233" i="1" s="1"/>
  <c r="BM4" i="1" l="1"/>
  <c r="BY25" i="1"/>
  <c r="BN4" i="1"/>
  <c r="BZ25" i="1"/>
  <c r="BK4" i="1"/>
  <c r="BW25" i="1"/>
  <c r="BO4" i="1"/>
  <c r="CA25" i="1"/>
  <c r="BL4" i="1"/>
  <c r="BX25" i="1"/>
  <c r="BP4" i="1"/>
  <c r="CB25" i="1"/>
  <c r="AP134" i="1"/>
  <c r="AQ134" i="1" s="1"/>
  <c r="AP133" i="1"/>
  <c r="AP132" i="1"/>
  <c r="AP120" i="1"/>
  <c r="AQ120" i="1" s="1"/>
  <c r="AV120" i="1" s="1"/>
  <c r="AP119" i="1"/>
  <c r="AP118" i="1"/>
  <c r="AP92" i="1"/>
  <c r="AQ92" i="1" s="1"/>
  <c r="AP91" i="1"/>
  <c r="AP90" i="1"/>
  <c r="AP106" i="1"/>
  <c r="AQ106" i="1" s="1"/>
  <c r="AV106" i="1" s="1"/>
  <c r="AP105" i="1"/>
  <c r="AP104" i="1"/>
  <c r="AP78" i="1"/>
  <c r="AQ78" i="1" s="1"/>
  <c r="AV78" i="1" s="1"/>
  <c r="AP77" i="1"/>
  <c r="AP76" i="1"/>
  <c r="AP64" i="1"/>
  <c r="AQ64" i="1" s="1"/>
  <c r="AV64" i="1" s="1"/>
  <c r="AP63" i="1"/>
  <c r="AP62" i="1"/>
  <c r="AP50" i="1"/>
  <c r="AQ50" i="1" s="1"/>
  <c r="AV50" i="1" s="1"/>
  <c r="AP49" i="1"/>
  <c r="AP48" i="1"/>
  <c r="AP36" i="1"/>
  <c r="AQ36" i="1" s="1"/>
  <c r="AV36" i="1" s="1"/>
  <c r="AP35" i="1"/>
  <c r="AP34" i="1"/>
  <c r="AP22" i="1"/>
  <c r="AQ22" i="1" s="1"/>
  <c r="AV22" i="1" s="1"/>
  <c r="AP21" i="1"/>
  <c r="AP20" i="1"/>
  <c r="AP8" i="1"/>
  <c r="AQ8" i="1" s="1"/>
  <c r="AV8" i="1" s="1"/>
  <c r="AP7" i="1"/>
  <c r="AP6" i="1"/>
  <c r="X42" i="1"/>
  <c r="Y42" i="1" s="1"/>
  <c r="AM132" i="1" s="1"/>
  <c r="T42" i="1"/>
  <c r="Q42" i="1"/>
  <c r="X41" i="1"/>
  <c r="Y41" i="1" s="1"/>
  <c r="AM118" i="1" s="1"/>
  <c r="T41" i="1"/>
  <c r="Q41" i="1"/>
  <c r="X40" i="1"/>
  <c r="Y40" i="1" s="1"/>
  <c r="AM104" i="1" s="1"/>
  <c r="T40" i="1"/>
  <c r="Q40" i="1"/>
  <c r="X39" i="1"/>
  <c r="Y39" i="1" s="1"/>
  <c r="AM90" i="1" s="1"/>
  <c r="T39" i="1"/>
  <c r="Q39" i="1"/>
  <c r="X38" i="1"/>
  <c r="Y38" i="1" s="1"/>
  <c r="AM76" i="1" s="1"/>
  <c r="T38" i="1"/>
  <c r="Q38" i="1"/>
  <c r="X37" i="1"/>
  <c r="Y37" i="1" s="1"/>
  <c r="AM62" i="1" s="1"/>
  <c r="T37" i="1"/>
  <c r="Q37" i="1"/>
  <c r="X36" i="1"/>
  <c r="Y36" i="1" s="1"/>
  <c r="AM48" i="1" s="1"/>
  <c r="T36" i="1"/>
  <c r="Q36" i="1"/>
  <c r="X35" i="1"/>
  <c r="Y35" i="1" s="1"/>
  <c r="AM34" i="1" s="1"/>
  <c r="T35" i="1"/>
  <c r="Q35" i="1"/>
  <c r="X34" i="1"/>
  <c r="Y34" i="1" s="1"/>
  <c r="AM20" i="1" s="1"/>
  <c r="T34" i="1"/>
  <c r="Q34" i="1"/>
  <c r="X33" i="1"/>
  <c r="Y33" i="1" s="1"/>
  <c r="AM6" i="1" s="1"/>
  <c r="T33" i="1"/>
  <c r="Q33" i="1"/>
  <c r="K33" i="1"/>
  <c r="K34" i="1" s="1"/>
  <c r="K35" i="1" s="1"/>
  <c r="K36" i="1" s="1"/>
  <c r="K37" i="1" s="1"/>
  <c r="K38" i="1" s="1"/>
  <c r="K39" i="1" s="1"/>
  <c r="E33" i="1"/>
  <c r="E34" i="1" s="1"/>
  <c r="F32" i="1"/>
  <c r="K40" i="1" l="1"/>
  <c r="K41" i="1" s="1"/>
  <c r="K42" i="1" s="1"/>
  <c r="D5" i="7"/>
  <c r="I5" i="7" s="1"/>
  <c r="AV134" i="1"/>
  <c r="D33" i="1"/>
  <c r="S34" i="1"/>
  <c r="D34" i="1"/>
  <c r="E35" i="1"/>
  <c r="G34" i="1"/>
  <c r="F34" i="1"/>
  <c r="S33" i="1"/>
  <c r="F33" i="1"/>
  <c r="G33" i="1"/>
  <c r="G2" i="2"/>
  <c r="I33" i="1" l="1"/>
  <c r="M33" i="1" s="1"/>
  <c r="H33" i="1"/>
  <c r="I34" i="1"/>
  <c r="M34" i="1" s="1"/>
  <c r="BE6" i="1" s="1"/>
  <c r="H34" i="1"/>
  <c r="E36" i="1"/>
  <c r="G35" i="1"/>
  <c r="F35" i="1"/>
  <c r="S35" i="1"/>
  <c r="D35" i="1"/>
  <c r="AQ135" i="1"/>
  <c r="AV135" i="1" s="1"/>
  <c r="AQ133" i="1"/>
  <c r="AV133" i="1" s="1"/>
  <c r="AQ132" i="1"/>
  <c r="AP131" i="1"/>
  <c r="AP130" i="1"/>
  <c r="AQ131" i="1"/>
  <c r="AV131" i="1" s="1"/>
  <c r="AQ130" i="1"/>
  <c r="AP121" i="1"/>
  <c r="AQ121" i="1" s="1"/>
  <c r="AV121" i="1" s="1"/>
  <c r="AQ119" i="1"/>
  <c r="AV119" i="1" s="1"/>
  <c r="AQ118" i="1"/>
  <c r="AP117" i="1"/>
  <c r="AQ117" i="1" s="1"/>
  <c r="AV117" i="1" s="1"/>
  <c r="AP116" i="1"/>
  <c r="AQ116" i="1"/>
  <c r="AP107" i="1"/>
  <c r="AQ107" i="1" s="1"/>
  <c r="AV107" i="1" s="1"/>
  <c r="AQ105" i="1"/>
  <c r="AV105" i="1" s="1"/>
  <c r="AQ104" i="1"/>
  <c r="AP103" i="1"/>
  <c r="AQ103" i="1" s="1"/>
  <c r="AV103" i="1" s="1"/>
  <c r="AP102" i="1"/>
  <c r="AQ102" i="1"/>
  <c r="BY26" i="1" l="1"/>
  <c r="BE5" i="1"/>
  <c r="BM5" i="1" s="1"/>
  <c r="Q234" i="1"/>
  <c r="R234" i="1" s="1"/>
  <c r="AN6" i="1"/>
  <c r="Q235" i="1"/>
  <c r="Q133" i="1"/>
  <c r="R133" i="1" s="1"/>
  <c r="N34" i="1"/>
  <c r="AN20" i="1"/>
  <c r="I35" i="1"/>
  <c r="M35" i="1" s="1"/>
  <c r="BE7" i="1" s="1"/>
  <c r="BM7" i="1" s="1"/>
  <c r="H35" i="1"/>
  <c r="V34" i="1"/>
  <c r="S36" i="1"/>
  <c r="E37" i="1"/>
  <c r="D36" i="1"/>
  <c r="G36" i="1"/>
  <c r="F36" i="1"/>
  <c r="V33" i="1"/>
  <c r="N33" i="1"/>
  <c r="AV132" i="1"/>
  <c r="AV118" i="1"/>
  <c r="AV104" i="1"/>
  <c r="AP93" i="1"/>
  <c r="AQ93" i="1" s="1"/>
  <c r="AV93" i="1" s="1"/>
  <c r="AQ91" i="1"/>
  <c r="AV91" i="1" s="1"/>
  <c r="AQ90" i="1"/>
  <c r="AV90" i="1" s="1"/>
  <c r="AP89" i="1"/>
  <c r="AQ89" i="1" s="1"/>
  <c r="AV89" i="1" s="1"/>
  <c r="AP88" i="1"/>
  <c r="AQ88" i="1" s="1"/>
  <c r="AP79" i="1"/>
  <c r="AQ79" i="1" s="1"/>
  <c r="AQ77" i="1"/>
  <c r="AV77" i="1" s="1"/>
  <c r="AQ76" i="1"/>
  <c r="AV76" i="1" s="1"/>
  <c r="AP75" i="1"/>
  <c r="AQ75" i="1" s="1"/>
  <c r="AV75" i="1" s="1"/>
  <c r="AP74" i="1"/>
  <c r="AQ74" i="1" s="1"/>
  <c r="AP65" i="1"/>
  <c r="AQ65" i="1" s="1"/>
  <c r="AV65" i="1" s="1"/>
  <c r="AQ63" i="1"/>
  <c r="AV63" i="1" s="1"/>
  <c r="AP61" i="1"/>
  <c r="AQ61" i="1" s="1"/>
  <c r="AV61" i="1" s="1"/>
  <c r="AP60" i="1"/>
  <c r="AQ60" i="1" s="1"/>
  <c r="AQ62" i="1"/>
  <c r="AP51" i="1"/>
  <c r="AQ51" i="1" s="1"/>
  <c r="AV51" i="1" s="1"/>
  <c r="AQ49" i="1"/>
  <c r="AV49" i="1" s="1"/>
  <c r="AP47" i="1"/>
  <c r="AQ47" i="1" s="1"/>
  <c r="AV47" i="1" s="1"/>
  <c r="AP46" i="1"/>
  <c r="AQ46" i="1" s="1"/>
  <c r="AQ48" i="1"/>
  <c r="AP37" i="1"/>
  <c r="AQ37" i="1" s="1"/>
  <c r="AV37" i="1" s="1"/>
  <c r="AQ35" i="1"/>
  <c r="AV35" i="1" s="1"/>
  <c r="AQ34" i="1"/>
  <c r="AP33" i="1"/>
  <c r="AQ33" i="1" s="1"/>
  <c r="AV33" i="1" s="1"/>
  <c r="AP32" i="1"/>
  <c r="AQ32" i="1" s="1"/>
  <c r="AP23" i="1"/>
  <c r="AQ23" i="1" s="1"/>
  <c r="AV23" i="1" s="1"/>
  <c r="AP19" i="1"/>
  <c r="AQ19" i="1" s="1"/>
  <c r="AP18" i="1"/>
  <c r="AQ18" i="1" s="1"/>
  <c r="AQ21" i="1"/>
  <c r="AV21" i="1" s="1"/>
  <c r="AQ20" i="1"/>
  <c r="X84" i="1"/>
  <c r="Y84" i="1" s="1"/>
  <c r="AM135" i="1" s="1"/>
  <c r="AR135" i="1" s="1"/>
  <c r="X83" i="1"/>
  <c r="Y83" i="1" s="1"/>
  <c r="AM121" i="1" s="1"/>
  <c r="AR121" i="1" s="1"/>
  <c r="X82" i="1"/>
  <c r="Y82" i="1" s="1"/>
  <c r="AM107" i="1" s="1"/>
  <c r="X81" i="1"/>
  <c r="Y81" i="1" s="1"/>
  <c r="AM93" i="1" s="1"/>
  <c r="X80" i="1"/>
  <c r="Y80" i="1" s="1"/>
  <c r="AM79" i="1" s="1"/>
  <c r="X79" i="1"/>
  <c r="Y79" i="1" s="1"/>
  <c r="AM65" i="1" s="1"/>
  <c r="X78" i="1"/>
  <c r="Y78" i="1" s="1"/>
  <c r="AM51" i="1" s="1"/>
  <c r="X77" i="1"/>
  <c r="Y77" i="1" s="1"/>
  <c r="AM37" i="1" s="1"/>
  <c r="X76" i="1"/>
  <c r="Y76" i="1" s="1"/>
  <c r="AM23" i="1" s="1"/>
  <c r="X75" i="1"/>
  <c r="Y75" i="1" s="1"/>
  <c r="X70" i="1"/>
  <c r="Y70" i="1" s="1"/>
  <c r="AM134" i="1" s="1"/>
  <c r="AR134" i="1" s="1"/>
  <c r="X69" i="1"/>
  <c r="Y69" i="1" s="1"/>
  <c r="X68" i="1"/>
  <c r="Y68" i="1" s="1"/>
  <c r="AM106" i="1" s="1"/>
  <c r="AR106" i="1" s="1"/>
  <c r="X67" i="1"/>
  <c r="Y67" i="1" s="1"/>
  <c r="AM92" i="1" s="1"/>
  <c r="AR92" i="1" s="1"/>
  <c r="X66" i="1"/>
  <c r="Y66" i="1" s="1"/>
  <c r="AM78" i="1" s="1"/>
  <c r="AR78" i="1" s="1"/>
  <c r="X65" i="1"/>
  <c r="Y65" i="1" s="1"/>
  <c r="AM64" i="1" s="1"/>
  <c r="AR64" i="1" s="1"/>
  <c r="X64" i="1"/>
  <c r="Y64" i="1" s="1"/>
  <c r="AM50" i="1" s="1"/>
  <c r="AR50" i="1" s="1"/>
  <c r="X63" i="1"/>
  <c r="Y63" i="1" s="1"/>
  <c r="AM36" i="1" s="1"/>
  <c r="X62" i="1"/>
  <c r="Y62" i="1" s="1"/>
  <c r="AM22" i="1" s="1"/>
  <c r="X61" i="1"/>
  <c r="Y61" i="1" s="1"/>
  <c r="AM8" i="1" s="1"/>
  <c r="X56" i="1"/>
  <c r="Y56" i="1" s="1"/>
  <c r="X55" i="1"/>
  <c r="Y55" i="1" s="1"/>
  <c r="AM119" i="1" s="1"/>
  <c r="X54" i="1"/>
  <c r="Y54" i="1" s="1"/>
  <c r="X53" i="1"/>
  <c r="Y53" i="1" s="1"/>
  <c r="AM91" i="1" s="1"/>
  <c r="X52" i="1"/>
  <c r="Y52" i="1" s="1"/>
  <c r="AM77" i="1" s="1"/>
  <c r="X51" i="1"/>
  <c r="Y51" i="1" s="1"/>
  <c r="AM63" i="1" s="1"/>
  <c r="AR63" i="1" s="1"/>
  <c r="X50" i="1"/>
  <c r="Y50" i="1" s="1"/>
  <c r="AM49" i="1" s="1"/>
  <c r="X49" i="1"/>
  <c r="Y49" i="1" s="1"/>
  <c r="AM35" i="1" s="1"/>
  <c r="X48" i="1"/>
  <c r="Y48" i="1" s="1"/>
  <c r="AM21" i="1" s="1"/>
  <c r="X47" i="1"/>
  <c r="Y47" i="1" s="1"/>
  <c r="AM7" i="1" s="1"/>
  <c r="X28" i="1"/>
  <c r="Y28" i="1" s="1"/>
  <c r="AM131" i="1" s="1"/>
  <c r="X27" i="1"/>
  <c r="Y27" i="1" s="1"/>
  <c r="AM117" i="1" s="1"/>
  <c r="AR117" i="1" s="1"/>
  <c r="X26" i="1"/>
  <c r="Y26" i="1" s="1"/>
  <c r="AM103" i="1" s="1"/>
  <c r="X25" i="1"/>
  <c r="Y25" i="1" s="1"/>
  <c r="AM89" i="1" s="1"/>
  <c r="X24" i="1"/>
  <c r="Y24" i="1" s="1"/>
  <c r="AM75" i="1" s="1"/>
  <c r="X23" i="1"/>
  <c r="Y23" i="1" s="1"/>
  <c r="AM61" i="1" s="1"/>
  <c r="X22" i="1"/>
  <c r="Y22" i="1" s="1"/>
  <c r="AM47" i="1" s="1"/>
  <c r="X21" i="1"/>
  <c r="Y21" i="1" s="1"/>
  <c r="AM33" i="1" s="1"/>
  <c r="X14" i="1"/>
  <c r="Y14" i="1" s="1"/>
  <c r="AM130" i="1" s="1"/>
  <c r="X13" i="1"/>
  <c r="Y13" i="1" s="1"/>
  <c r="AM116" i="1" s="1"/>
  <c r="X12" i="1"/>
  <c r="Y12" i="1" s="1"/>
  <c r="AM102" i="1" s="1"/>
  <c r="X11" i="1"/>
  <c r="Y11" i="1" s="1"/>
  <c r="AM88" i="1" s="1"/>
  <c r="AM94" i="1" s="1"/>
  <c r="AM95" i="1" s="1"/>
  <c r="X10" i="1"/>
  <c r="Y10" i="1" s="1"/>
  <c r="AM74" i="1" s="1"/>
  <c r="X9" i="1"/>
  <c r="Y9" i="1" s="1"/>
  <c r="AM60" i="1" s="1"/>
  <c r="X8" i="1"/>
  <c r="Y8" i="1" s="1"/>
  <c r="AM46" i="1" s="1"/>
  <c r="X7" i="1"/>
  <c r="Y7" i="1" s="1"/>
  <c r="AM32" i="1" s="1"/>
  <c r="AM38" i="1" s="1"/>
  <c r="AM39" i="1" s="1"/>
  <c r="AP9" i="1"/>
  <c r="AQ9" i="1" s="1"/>
  <c r="AV9" i="1" s="1"/>
  <c r="AQ7" i="1"/>
  <c r="AV7" i="1" s="1"/>
  <c r="AQ6" i="1"/>
  <c r="AP5" i="1"/>
  <c r="AQ5" i="1" s="1"/>
  <c r="AP4" i="1"/>
  <c r="AQ4" i="1" s="1"/>
  <c r="AM80" i="1" l="1"/>
  <c r="AM81" i="1" s="1"/>
  <c r="R235" i="1"/>
  <c r="BM6" i="1"/>
  <c r="AM52" i="1"/>
  <c r="AM53" i="1" s="1"/>
  <c r="AM66" i="1"/>
  <c r="AM67" i="1" s="1"/>
  <c r="AR116" i="1"/>
  <c r="AM122" i="1"/>
  <c r="AM123" i="1" s="1"/>
  <c r="AR8" i="1"/>
  <c r="AR119" i="1"/>
  <c r="AM120" i="1"/>
  <c r="AR120" i="1" s="1"/>
  <c r="AR22" i="1"/>
  <c r="AR36" i="1"/>
  <c r="AR104" i="1"/>
  <c r="AM105" i="1"/>
  <c r="AR105" i="1" s="1"/>
  <c r="AR132" i="1"/>
  <c r="AM133" i="1"/>
  <c r="AR133" i="1" s="1"/>
  <c r="K132" i="1"/>
  <c r="Q236" i="1"/>
  <c r="R236" i="1" s="1"/>
  <c r="N35" i="1"/>
  <c r="AN34" i="1"/>
  <c r="R34" i="1"/>
  <c r="E6" i="5" s="1"/>
  <c r="E38" i="1"/>
  <c r="G37" i="1"/>
  <c r="S37" i="1"/>
  <c r="F37" i="1"/>
  <c r="D37" i="1"/>
  <c r="R33" i="1"/>
  <c r="E5" i="5" s="1"/>
  <c r="I36" i="1"/>
  <c r="M36" i="1" s="1"/>
  <c r="BE8" i="1" s="1"/>
  <c r="H36" i="1"/>
  <c r="V35" i="1"/>
  <c r="AR88" i="1"/>
  <c r="AR118" i="1"/>
  <c r="AR107" i="1"/>
  <c r="AR130" i="1"/>
  <c r="AR103" i="1"/>
  <c r="AR102" i="1"/>
  <c r="AR131" i="1"/>
  <c r="AT137" i="1"/>
  <c r="AT123" i="1"/>
  <c r="AV102" i="1"/>
  <c r="AW102" i="1" s="1"/>
  <c r="AW103" i="1" s="1"/>
  <c r="AW104" i="1" s="1"/>
  <c r="AW105" i="1" s="1"/>
  <c r="AW106" i="1" s="1"/>
  <c r="AW107" i="1" s="1"/>
  <c r="AR91" i="1"/>
  <c r="AR49" i="1"/>
  <c r="AR77" i="1"/>
  <c r="AR34" i="1"/>
  <c r="AR89" i="1"/>
  <c r="AR74" i="1"/>
  <c r="AR90" i="1"/>
  <c r="AR75" i="1"/>
  <c r="AR93" i="1"/>
  <c r="AR79" i="1"/>
  <c r="AV79" i="1"/>
  <c r="AR76" i="1"/>
  <c r="AV62" i="1"/>
  <c r="AT67" i="1" s="1"/>
  <c r="AR62" i="1"/>
  <c r="AR60" i="1"/>
  <c r="AR61" i="1"/>
  <c r="AR65" i="1"/>
  <c r="AV48" i="1"/>
  <c r="AR48" i="1"/>
  <c r="AR46" i="1"/>
  <c r="AR47" i="1"/>
  <c r="AR51" i="1"/>
  <c r="AR32" i="1"/>
  <c r="AR35" i="1"/>
  <c r="AR33" i="1"/>
  <c r="AR37" i="1"/>
  <c r="AV20" i="1"/>
  <c r="AR20" i="1"/>
  <c r="AV19" i="1"/>
  <c r="AR21" i="1"/>
  <c r="AR23" i="1"/>
  <c r="AV5" i="1"/>
  <c r="X20" i="1"/>
  <c r="Y20" i="1" s="1"/>
  <c r="AM19" i="1" s="1"/>
  <c r="X6" i="1"/>
  <c r="Y6" i="1" s="1"/>
  <c r="AM18" i="1" s="1"/>
  <c r="AM24" i="1" s="1"/>
  <c r="AM25" i="1" s="1"/>
  <c r="AM9" i="1"/>
  <c r="AR6" i="1"/>
  <c r="X19" i="1"/>
  <c r="Y19" i="1" s="1"/>
  <c r="X5" i="1"/>
  <c r="Y5" i="1" s="1"/>
  <c r="AM4" i="1" s="1"/>
  <c r="AR4" i="1" l="1"/>
  <c r="AM108" i="1"/>
  <c r="AM109" i="1" s="1"/>
  <c r="BY27" i="1"/>
  <c r="BM8" i="1"/>
  <c r="AM136" i="1"/>
  <c r="AM137" i="1" s="1"/>
  <c r="Q134" i="1"/>
  <c r="R134" i="1" s="1"/>
  <c r="Q237" i="1"/>
  <c r="R237" i="1" s="1"/>
  <c r="AN48" i="1"/>
  <c r="N36" i="1"/>
  <c r="V36" i="1"/>
  <c r="H37" i="1"/>
  <c r="I37" i="1"/>
  <c r="M37" i="1" s="1"/>
  <c r="BE9" i="1" s="1"/>
  <c r="BM9" i="1" s="1"/>
  <c r="S38" i="1"/>
  <c r="G38" i="1"/>
  <c r="D38" i="1"/>
  <c r="E39" i="1"/>
  <c r="F38" i="1"/>
  <c r="R35" i="1"/>
  <c r="E7" i="5" s="1"/>
  <c r="AR18" i="1"/>
  <c r="AV130" i="1"/>
  <c r="AW130" i="1" s="1"/>
  <c r="AW131" i="1" s="1"/>
  <c r="AW132" i="1" s="1"/>
  <c r="AW133" i="1" s="1"/>
  <c r="AW134" i="1" s="1"/>
  <c r="AW135" i="1" s="1"/>
  <c r="AV116" i="1"/>
  <c r="AW116" i="1" s="1"/>
  <c r="AW117" i="1" s="1"/>
  <c r="AW118" i="1" s="1"/>
  <c r="AW119" i="1" s="1"/>
  <c r="AW120" i="1" s="1"/>
  <c r="AW121" i="1" s="1"/>
  <c r="AR19" i="1"/>
  <c r="AV88" i="1"/>
  <c r="AW88" i="1" s="1"/>
  <c r="AW89" i="1" s="1"/>
  <c r="AW90" i="1" s="1"/>
  <c r="AW91" i="1" s="1"/>
  <c r="AW93" i="1" s="1"/>
  <c r="AV60" i="1"/>
  <c r="AW60" i="1" s="1"/>
  <c r="AW61" i="1" s="1"/>
  <c r="AW62" i="1" s="1"/>
  <c r="AW63" i="1" s="1"/>
  <c r="AW64" i="1" s="1"/>
  <c r="AW65" i="1" s="1"/>
  <c r="AT53" i="1"/>
  <c r="AR7" i="1"/>
  <c r="AR9" i="1"/>
  <c r="AM5" i="1"/>
  <c r="AR5" i="1" s="1"/>
  <c r="K5" i="1"/>
  <c r="K6" i="1" s="1"/>
  <c r="T14" i="1"/>
  <c r="Q14" i="1"/>
  <c r="T13" i="1"/>
  <c r="Q13" i="1"/>
  <c r="T12" i="1"/>
  <c r="Q12" i="1"/>
  <c r="T11" i="1"/>
  <c r="Q11" i="1"/>
  <c r="T10" i="1"/>
  <c r="Q10" i="1"/>
  <c r="T9" i="1"/>
  <c r="Q9" i="1"/>
  <c r="T8" i="1"/>
  <c r="Q8" i="1"/>
  <c r="T7" i="1"/>
  <c r="Q7" i="1"/>
  <c r="T6" i="1"/>
  <c r="Q6" i="1"/>
  <c r="T5" i="1"/>
  <c r="Q5" i="1"/>
  <c r="E5" i="1"/>
  <c r="F5" i="1" s="1"/>
  <c r="F4" i="1"/>
  <c r="AM10" i="1" l="1"/>
  <c r="AM11" i="1" s="1"/>
  <c r="AT25" i="1"/>
  <c r="AV18" i="1"/>
  <c r="AW18" i="1" s="1"/>
  <c r="AW19" i="1" s="1"/>
  <c r="AW20" i="1" s="1"/>
  <c r="AW21" i="1" s="1"/>
  <c r="AW22" i="1" s="1"/>
  <c r="AW23" i="1" s="1"/>
  <c r="Q238" i="1"/>
  <c r="R238" i="1" s="1"/>
  <c r="AN62" i="1"/>
  <c r="N37" i="1"/>
  <c r="I38" i="1"/>
  <c r="M38" i="1" s="1"/>
  <c r="H38" i="1"/>
  <c r="E40" i="1"/>
  <c r="G39" i="1"/>
  <c r="S39" i="1"/>
  <c r="D39" i="1"/>
  <c r="F39" i="1"/>
  <c r="V37" i="1"/>
  <c r="R36" i="1"/>
  <c r="E8" i="5" s="1"/>
  <c r="K7" i="1"/>
  <c r="K8" i="1" s="1"/>
  <c r="K9" i="1" s="1"/>
  <c r="K10" i="1" s="1"/>
  <c r="K11" i="1" s="1"/>
  <c r="AV46" i="1"/>
  <c r="AW46" i="1" s="1"/>
  <c r="AW47" i="1" s="1"/>
  <c r="AW48" i="1" s="1"/>
  <c r="AW49" i="1" s="1"/>
  <c r="AW50" i="1" s="1"/>
  <c r="AW51" i="1" s="1"/>
  <c r="E6" i="1"/>
  <c r="G6" i="1" s="1"/>
  <c r="I6" i="1" s="1"/>
  <c r="M6" i="1" s="1"/>
  <c r="BC6" i="1" s="1"/>
  <c r="S5" i="1"/>
  <c r="D5" i="1"/>
  <c r="G5" i="1"/>
  <c r="I5" i="1" s="1"/>
  <c r="M5" i="1" s="1"/>
  <c r="V134" i="1" l="1"/>
  <c r="BW26" i="1"/>
  <c r="K12" i="1"/>
  <c r="K13" i="1" s="1"/>
  <c r="K14" i="1" s="1"/>
  <c r="D3" i="7"/>
  <c r="I3" i="7" s="1"/>
  <c r="Q209" i="1"/>
  <c r="R209" i="1" s="1"/>
  <c r="BC5" i="1"/>
  <c r="BK5" i="1" s="1"/>
  <c r="BE10" i="1"/>
  <c r="Q239" i="1"/>
  <c r="R239" i="1" s="1"/>
  <c r="K133" i="1"/>
  <c r="Q135" i="1"/>
  <c r="R135" i="1" s="1"/>
  <c r="N38" i="1"/>
  <c r="AN76" i="1"/>
  <c r="D6" i="1"/>
  <c r="S40" i="1"/>
  <c r="G40" i="1"/>
  <c r="F40" i="1"/>
  <c r="D40" i="1"/>
  <c r="E41" i="1"/>
  <c r="R37" i="1"/>
  <c r="E9" i="5" s="1"/>
  <c r="I39" i="1"/>
  <c r="M39" i="1" s="1"/>
  <c r="H39" i="1"/>
  <c r="C5" i="7" s="1"/>
  <c r="H5" i="7" s="1"/>
  <c r="V38" i="1"/>
  <c r="E7" i="1"/>
  <c r="E8" i="1" s="1"/>
  <c r="AN18" i="1"/>
  <c r="AO18" i="1" s="1"/>
  <c r="Q210" i="1"/>
  <c r="R210" i="1" s="1"/>
  <c r="Q120" i="1"/>
  <c r="R120" i="1" s="1"/>
  <c r="S6" i="1"/>
  <c r="H6" i="1"/>
  <c r="F6" i="1"/>
  <c r="AN4" i="1"/>
  <c r="V5" i="1"/>
  <c r="H5" i="1"/>
  <c r="N5" i="1"/>
  <c r="V6" i="1"/>
  <c r="N6" i="1"/>
  <c r="BY28" i="1" l="1"/>
  <c r="BM10" i="1"/>
  <c r="BK6" i="1"/>
  <c r="BE11" i="1"/>
  <c r="BM11" i="1" s="1"/>
  <c r="F5" i="7"/>
  <c r="Q240" i="1"/>
  <c r="R240" i="1" s="1"/>
  <c r="AN90" i="1"/>
  <c r="N39" i="1"/>
  <c r="R38" i="1"/>
  <c r="E10" i="5" s="1"/>
  <c r="V39" i="1"/>
  <c r="I40" i="1"/>
  <c r="H40" i="1"/>
  <c r="E42" i="1"/>
  <c r="G41" i="1"/>
  <c r="F41" i="1"/>
  <c r="S41" i="1"/>
  <c r="D41" i="1"/>
  <c r="F7" i="1"/>
  <c r="S7" i="1"/>
  <c r="G7" i="1"/>
  <c r="H7" i="1" s="1"/>
  <c r="D7" i="1"/>
  <c r="AU18" i="1"/>
  <c r="AO4" i="1"/>
  <c r="R5" i="1"/>
  <c r="C5" i="5" s="1"/>
  <c r="G8" i="1"/>
  <c r="F8" i="1"/>
  <c r="S8" i="1"/>
  <c r="D8" i="1"/>
  <c r="E9" i="1"/>
  <c r="R6" i="1"/>
  <c r="C6" i="5" s="1"/>
  <c r="M12" i="2"/>
  <c r="M11" i="2"/>
  <c r="K6" i="2"/>
  <c r="M40" i="1" l="1"/>
  <c r="BE12" i="1" s="1"/>
  <c r="I7" i="1"/>
  <c r="M7" i="1" s="1"/>
  <c r="BC7" i="1" s="1"/>
  <c r="BK7" i="1" s="1"/>
  <c r="Q211" i="1"/>
  <c r="R211" i="1" s="1"/>
  <c r="Q241" i="1"/>
  <c r="R241" i="1" s="1"/>
  <c r="Q136" i="1"/>
  <c r="R136" i="1" s="1"/>
  <c r="N40" i="1"/>
  <c r="S42" i="1"/>
  <c r="G42" i="1"/>
  <c r="F42" i="1"/>
  <c r="D42" i="1"/>
  <c r="R39" i="1"/>
  <c r="E11" i="5" s="1"/>
  <c r="V40" i="1"/>
  <c r="I41" i="1"/>
  <c r="M41" i="1" s="1"/>
  <c r="BE13" i="1" s="1"/>
  <c r="H41" i="1"/>
  <c r="K120" i="1"/>
  <c r="L120" i="1" s="1"/>
  <c r="AN32" i="1"/>
  <c r="V7" i="1"/>
  <c r="N7" i="1"/>
  <c r="G9" i="1"/>
  <c r="S9" i="1"/>
  <c r="F9" i="1"/>
  <c r="E10" i="1"/>
  <c r="D9" i="1"/>
  <c r="I8" i="1"/>
  <c r="M8" i="1" s="1"/>
  <c r="BC8" i="1" s="1"/>
  <c r="H8" i="1"/>
  <c r="BY29" i="1" l="1"/>
  <c r="BM12" i="1"/>
  <c r="BM13" i="1"/>
  <c r="AN104" i="1"/>
  <c r="BW27" i="1"/>
  <c r="BK8" i="1"/>
  <c r="Q242" i="1"/>
  <c r="R242" i="1" s="1"/>
  <c r="K134" i="1"/>
  <c r="AN118" i="1"/>
  <c r="N41" i="1"/>
  <c r="V41" i="1"/>
  <c r="I42" i="1"/>
  <c r="M42" i="1" s="1"/>
  <c r="BE14" i="1" s="1"/>
  <c r="H42" i="1"/>
  <c r="R40" i="1"/>
  <c r="E12" i="5" s="1"/>
  <c r="AN46" i="1"/>
  <c r="AU46" i="1" s="1"/>
  <c r="Q212" i="1"/>
  <c r="R212" i="1" s="1"/>
  <c r="Q121" i="1"/>
  <c r="R121" i="1" s="1"/>
  <c r="AO32" i="1"/>
  <c r="I9" i="1"/>
  <c r="M9" i="1" s="1"/>
  <c r="BC9" i="1" s="1"/>
  <c r="BK9" i="1" s="1"/>
  <c r="H9" i="1"/>
  <c r="G10" i="1"/>
  <c r="F10" i="1"/>
  <c r="S10" i="1"/>
  <c r="E11" i="1"/>
  <c r="D10" i="1"/>
  <c r="R7" i="1"/>
  <c r="C7" i="5" s="1"/>
  <c r="V8" i="1"/>
  <c r="N8" i="1"/>
  <c r="Q84" i="1"/>
  <c r="Q83" i="1"/>
  <c r="Q82" i="1"/>
  <c r="Q81" i="1"/>
  <c r="Q80" i="1"/>
  <c r="Q79" i="1"/>
  <c r="Q78" i="1"/>
  <c r="Q77" i="1"/>
  <c r="Q76" i="1"/>
  <c r="Q75" i="1"/>
  <c r="Q70" i="1"/>
  <c r="Q69" i="1"/>
  <c r="Q68" i="1"/>
  <c r="Q67" i="1"/>
  <c r="Q66" i="1"/>
  <c r="Q65" i="1"/>
  <c r="Q64" i="1"/>
  <c r="Q63" i="1"/>
  <c r="Q62" i="1"/>
  <c r="Q61" i="1"/>
  <c r="Q56" i="1"/>
  <c r="Q55" i="1"/>
  <c r="Q54" i="1"/>
  <c r="Q53" i="1"/>
  <c r="Q52" i="1"/>
  <c r="Q51" i="1"/>
  <c r="Q50" i="1"/>
  <c r="Q49" i="1"/>
  <c r="Q48" i="1"/>
  <c r="Q47" i="1"/>
  <c r="Q28" i="1"/>
  <c r="Q27" i="1"/>
  <c r="Q26" i="1"/>
  <c r="Q25" i="1"/>
  <c r="Q24" i="1"/>
  <c r="Q23" i="1"/>
  <c r="Q22" i="1"/>
  <c r="Q21" i="1"/>
  <c r="Q20" i="1"/>
  <c r="Q19" i="1"/>
  <c r="T78" i="1"/>
  <c r="T70" i="1"/>
  <c r="T69" i="1"/>
  <c r="T68" i="1"/>
  <c r="T67" i="1"/>
  <c r="T66" i="1"/>
  <c r="T65" i="1"/>
  <c r="T64" i="1"/>
  <c r="T56" i="1"/>
  <c r="T55" i="1"/>
  <c r="T54" i="1"/>
  <c r="T53" i="1"/>
  <c r="T52" i="1"/>
  <c r="T51" i="1"/>
  <c r="T50" i="1"/>
  <c r="T49" i="1"/>
  <c r="T28" i="1"/>
  <c r="T27" i="1"/>
  <c r="T26" i="1"/>
  <c r="T25" i="1"/>
  <c r="T24" i="1"/>
  <c r="T23" i="1"/>
  <c r="T22" i="1"/>
  <c r="T21" i="1"/>
  <c r="BY30" i="1" l="1"/>
  <c r="CG30" i="1" s="1"/>
  <c r="BM14" i="1"/>
  <c r="AO46" i="1"/>
  <c r="Q137" i="1"/>
  <c r="R137" i="1" s="1"/>
  <c r="K135" i="1"/>
  <c r="N42" i="1"/>
  <c r="AN132" i="1"/>
  <c r="R41" i="1"/>
  <c r="E13" i="5" s="1"/>
  <c r="V42" i="1"/>
  <c r="AN60" i="1"/>
  <c r="AO60" i="1" s="1"/>
  <c r="Q213" i="1"/>
  <c r="R213" i="1" s="1"/>
  <c r="I10" i="1"/>
  <c r="M10" i="1" s="1"/>
  <c r="BC10" i="1" s="1"/>
  <c r="H10" i="1"/>
  <c r="G11" i="1"/>
  <c r="F11" i="1"/>
  <c r="S11" i="1"/>
  <c r="E12" i="1"/>
  <c r="D11" i="1"/>
  <c r="V9" i="1"/>
  <c r="N9" i="1"/>
  <c r="R8" i="1"/>
  <c r="C8" i="5" s="1"/>
  <c r="T20" i="1"/>
  <c r="T19" i="1"/>
  <c r="K20" i="1"/>
  <c r="E19" i="1"/>
  <c r="G19" i="1" s="1"/>
  <c r="I19" i="1" s="1"/>
  <c r="M19" i="1" s="1"/>
  <c r="F18" i="1"/>
  <c r="BW28" i="1" l="1"/>
  <c r="BK10" i="1"/>
  <c r="Q221" i="1"/>
  <c r="R221" i="1" s="1"/>
  <c r="BD5" i="1"/>
  <c r="BL5" i="1" s="1"/>
  <c r="AU60" i="1"/>
  <c r="R42" i="1"/>
  <c r="K21" i="1"/>
  <c r="K22" i="1" s="1"/>
  <c r="K23" i="1" s="1"/>
  <c r="K24" i="1" s="1"/>
  <c r="K25" i="1" s="1"/>
  <c r="V135" i="1"/>
  <c r="Q214" i="1"/>
  <c r="R214" i="1" s="1"/>
  <c r="Q122" i="1"/>
  <c r="R122" i="1" s="1"/>
  <c r="K121" i="1"/>
  <c r="L121" i="1" s="1"/>
  <c r="AN74" i="1"/>
  <c r="AN5" i="1"/>
  <c r="V19" i="1"/>
  <c r="I11" i="1"/>
  <c r="M11" i="1" s="1"/>
  <c r="H11" i="1"/>
  <c r="C3" i="7" s="1"/>
  <c r="H3" i="7" s="1"/>
  <c r="R9" i="1"/>
  <c r="C9" i="5" s="1"/>
  <c r="G12" i="1"/>
  <c r="E13" i="1"/>
  <c r="D12" i="1"/>
  <c r="F12" i="1"/>
  <c r="S12" i="1"/>
  <c r="V10" i="1"/>
  <c r="N10" i="1"/>
  <c r="D19" i="1"/>
  <c r="N19" i="1"/>
  <c r="R19" i="1" s="1"/>
  <c r="D5" i="5" s="1"/>
  <c r="E20" i="1"/>
  <c r="E21" i="1" s="1"/>
  <c r="E22" i="1" s="1"/>
  <c r="E23" i="1" s="1"/>
  <c r="E24" i="1" s="1"/>
  <c r="E25" i="1" s="1"/>
  <c r="E26" i="1" s="1"/>
  <c r="E27" i="1" s="1"/>
  <c r="E28" i="1" s="1"/>
  <c r="F19" i="1"/>
  <c r="S19" i="1"/>
  <c r="H19" i="1"/>
  <c r="E14" i="5" l="1"/>
  <c r="AE14" i="1"/>
  <c r="K26" i="1"/>
  <c r="K27" i="1" s="1"/>
  <c r="K28" i="1" s="1"/>
  <c r="D4" i="7"/>
  <c r="I4" i="7" s="1"/>
  <c r="F3" i="7"/>
  <c r="BC11" i="1"/>
  <c r="BK11" i="1" s="1"/>
  <c r="AO5" i="1"/>
  <c r="AU5" i="1"/>
  <c r="AN88" i="1"/>
  <c r="AO88" i="1" s="1"/>
  <c r="Q215" i="1"/>
  <c r="R215" i="1" s="1"/>
  <c r="AO74" i="1"/>
  <c r="G13" i="1"/>
  <c r="F13" i="1"/>
  <c r="S13" i="1"/>
  <c r="D13" i="1"/>
  <c r="E14" i="1"/>
  <c r="R10" i="1"/>
  <c r="C10" i="5" s="1"/>
  <c r="I12" i="1"/>
  <c r="M12" i="1" s="1"/>
  <c r="BC12" i="1" s="1"/>
  <c r="H12" i="1"/>
  <c r="V11" i="1"/>
  <c r="N11" i="1"/>
  <c r="G20" i="1"/>
  <c r="H20" i="1" s="1"/>
  <c r="S20" i="1"/>
  <c r="D20" i="1"/>
  <c r="F20" i="1"/>
  <c r="BW29" i="1" l="1"/>
  <c r="BK12" i="1"/>
  <c r="I20" i="1"/>
  <c r="M20" i="1" s="1"/>
  <c r="Q127" i="1" s="1"/>
  <c r="R127" i="1" s="1"/>
  <c r="BD6" i="1"/>
  <c r="AU88" i="1"/>
  <c r="AN102" i="1"/>
  <c r="AO102" i="1" s="1"/>
  <c r="Q216" i="1"/>
  <c r="R216" i="1" s="1"/>
  <c r="Q123" i="1"/>
  <c r="R123" i="1" s="1"/>
  <c r="V12" i="1"/>
  <c r="N12" i="1"/>
  <c r="R11" i="1"/>
  <c r="C11" i="5" s="1"/>
  <c r="G14" i="1"/>
  <c r="F14" i="1"/>
  <c r="D14" i="1"/>
  <c r="S14" i="1"/>
  <c r="I13" i="1"/>
  <c r="M13" i="1" s="1"/>
  <c r="H13" i="1"/>
  <c r="D21" i="1"/>
  <c r="F21" i="1"/>
  <c r="S21" i="1"/>
  <c r="G21" i="1"/>
  <c r="S22" i="1"/>
  <c r="Q222" i="1" l="1"/>
  <c r="R222" i="1" s="1"/>
  <c r="V20" i="1"/>
  <c r="BX26" i="1"/>
  <c r="BL6" i="1"/>
  <c r="AN19" i="1"/>
  <c r="AU19" i="1" s="1"/>
  <c r="N20" i="1"/>
  <c r="Q217" i="1"/>
  <c r="R217" i="1" s="1"/>
  <c r="BC13" i="1"/>
  <c r="BK13" i="1" s="1"/>
  <c r="AO19" i="1"/>
  <c r="AU102" i="1"/>
  <c r="K122" i="1"/>
  <c r="L122" i="1" s="1"/>
  <c r="AN116" i="1"/>
  <c r="R12" i="1"/>
  <c r="C12" i="5" s="1"/>
  <c r="V13" i="1"/>
  <c r="N13" i="1"/>
  <c r="H14" i="1"/>
  <c r="I14" i="1"/>
  <c r="M14" i="1" s="1"/>
  <c r="BC14" i="1" s="1"/>
  <c r="G22" i="1"/>
  <c r="H22" i="1" s="1"/>
  <c r="S23" i="1"/>
  <c r="I21" i="1"/>
  <c r="M21" i="1" s="1"/>
  <c r="BD7" i="1" s="1"/>
  <c r="BL7" i="1" s="1"/>
  <c r="H21" i="1"/>
  <c r="D22" i="1"/>
  <c r="F22" i="1"/>
  <c r="F23" i="1"/>
  <c r="G23" i="1"/>
  <c r="R20" i="1"/>
  <c r="D6" i="5" s="1"/>
  <c r="BW30" i="1" l="1"/>
  <c r="BK14" i="1"/>
  <c r="I22" i="1"/>
  <c r="M22" i="1" s="1"/>
  <c r="Q224" i="1" s="1"/>
  <c r="K126" i="1"/>
  <c r="L126" i="1" s="1"/>
  <c r="Q223" i="1"/>
  <c r="R223" i="1" s="1"/>
  <c r="Q218" i="1"/>
  <c r="R218" i="1" s="1"/>
  <c r="Q124" i="1"/>
  <c r="R124" i="1" s="1"/>
  <c r="R194" i="1"/>
  <c r="K123" i="1"/>
  <c r="L123" i="1" s="1"/>
  <c r="AN130" i="1"/>
  <c r="V21" i="1"/>
  <c r="AN33" i="1"/>
  <c r="AO116" i="1"/>
  <c r="AU116" i="1"/>
  <c r="V14" i="1"/>
  <c r="N14" i="1"/>
  <c r="R13" i="1"/>
  <c r="C13" i="5" s="1"/>
  <c r="D23" i="1"/>
  <c r="S24" i="1"/>
  <c r="S25" i="1"/>
  <c r="N21" i="1"/>
  <c r="D24" i="1"/>
  <c r="G24" i="1"/>
  <c r="F24" i="1"/>
  <c r="I23" i="1"/>
  <c r="M23" i="1" s="1"/>
  <c r="H23" i="1"/>
  <c r="N22" i="1" l="1"/>
  <c r="AN47" i="1"/>
  <c r="V22" i="1"/>
  <c r="R224" i="1"/>
  <c r="Q225" i="1"/>
  <c r="R225" i="1" s="1"/>
  <c r="BD9" i="1"/>
  <c r="Q128" i="1"/>
  <c r="R128" i="1" s="1"/>
  <c r="BD8" i="1"/>
  <c r="L196" i="1"/>
  <c r="T194" i="1"/>
  <c r="AU33" i="1"/>
  <c r="AO33" i="1"/>
  <c r="AU47" i="1"/>
  <c r="AO47" i="1"/>
  <c r="V23" i="1"/>
  <c r="AN61" i="1"/>
  <c r="AO130" i="1"/>
  <c r="AU130" i="1"/>
  <c r="R14" i="1"/>
  <c r="C14" i="5" s="1"/>
  <c r="D25" i="1"/>
  <c r="G25" i="1"/>
  <c r="H25" i="1" s="1"/>
  <c r="C4" i="7" s="1"/>
  <c r="H4" i="7" s="1"/>
  <c r="F25" i="1"/>
  <c r="R22" i="1"/>
  <c r="D8" i="5" s="1"/>
  <c r="N23" i="1"/>
  <c r="S26" i="1"/>
  <c r="R21" i="1"/>
  <c r="D7" i="5" s="1"/>
  <c r="F26" i="1"/>
  <c r="H24" i="1"/>
  <c r="I24" i="1"/>
  <c r="M24" i="1" s="1"/>
  <c r="BX27" i="1" l="1"/>
  <c r="BL8" i="1"/>
  <c r="BL9" i="1"/>
  <c r="Q129" i="1"/>
  <c r="BD10" i="1"/>
  <c r="K127" i="1"/>
  <c r="L127" i="1" s="1"/>
  <c r="Q226" i="1"/>
  <c r="R226" i="1" s="1"/>
  <c r="R129" i="1"/>
  <c r="V24" i="1"/>
  <c r="AN75" i="1"/>
  <c r="AU61" i="1"/>
  <c r="AO61" i="1"/>
  <c r="I25" i="1"/>
  <c r="M25" i="1" s="1"/>
  <c r="G26" i="1"/>
  <c r="H26" i="1" s="1"/>
  <c r="S27" i="1"/>
  <c r="D26" i="1"/>
  <c r="R23" i="1"/>
  <c r="D9" i="5" s="1"/>
  <c r="N24" i="1"/>
  <c r="G27" i="1"/>
  <c r="F27" i="1"/>
  <c r="S28" i="1"/>
  <c r="D27" i="1"/>
  <c r="BX28" i="1" l="1"/>
  <c r="BL10" i="1"/>
  <c r="BD11" i="1"/>
  <c r="BL11" i="1" s="1"/>
  <c r="F4" i="7"/>
  <c r="Q227" i="1"/>
  <c r="R227" i="1" s="1"/>
  <c r="N25" i="1"/>
  <c r="R25" i="1" s="1"/>
  <c r="D11" i="5" s="1"/>
  <c r="V25" i="1"/>
  <c r="AN89" i="1"/>
  <c r="I26" i="1"/>
  <c r="M26" i="1" s="1"/>
  <c r="BD12" i="1" s="1"/>
  <c r="AU75" i="1"/>
  <c r="AO75" i="1"/>
  <c r="R24" i="1"/>
  <c r="D10" i="5" s="1"/>
  <c r="F28" i="1"/>
  <c r="D28" i="1"/>
  <c r="G28" i="1"/>
  <c r="H27" i="1"/>
  <c r="I27" i="1"/>
  <c r="M27" i="1" s="1"/>
  <c r="BD13" i="1" s="1"/>
  <c r="BL13" i="1" s="1"/>
  <c r="BX29" i="1" l="1"/>
  <c r="BL12" i="1"/>
  <c r="Q229" i="1"/>
  <c r="K128" i="1"/>
  <c r="L128" i="1" s="1"/>
  <c r="N26" i="1"/>
  <c r="R26" i="1" s="1"/>
  <c r="D12" i="5" s="1"/>
  <c r="Q228" i="1"/>
  <c r="R228" i="1" s="1"/>
  <c r="Q130" i="1"/>
  <c r="R130" i="1" s="1"/>
  <c r="V27" i="1"/>
  <c r="AN117" i="1"/>
  <c r="AU89" i="1"/>
  <c r="AO89" i="1"/>
  <c r="V26" i="1"/>
  <c r="AN103" i="1"/>
  <c r="N27" i="1"/>
  <c r="I28" i="1"/>
  <c r="M28" i="1" s="1"/>
  <c r="BD14" i="1" s="1"/>
  <c r="H28" i="1"/>
  <c r="BX30" i="1" l="1"/>
  <c r="BL14" i="1"/>
  <c r="Q230" i="1"/>
  <c r="R230" i="1" s="1"/>
  <c r="Q131" i="1"/>
  <c r="R131" i="1" s="1"/>
  <c r="R229" i="1"/>
  <c r="AN131" i="1"/>
  <c r="AU131" i="1" s="1"/>
  <c r="K129" i="1"/>
  <c r="L129" i="1" s="1"/>
  <c r="R197" i="1" s="1"/>
  <c r="T197" i="1" s="1"/>
  <c r="AU103" i="1"/>
  <c r="AO103" i="1"/>
  <c r="AU117" i="1"/>
  <c r="AO117" i="1"/>
  <c r="O26" i="1"/>
  <c r="P4" i="1"/>
  <c r="P5" i="1"/>
  <c r="P6" i="1"/>
  <c r="O6" i="1"/>
  <c r="O5" i="1"/>
  <c r="P7" i="1"/>
  <c r="P8" i="1"/>
  <c r="V28" i="1"/>
  <c r="O7" i="1"/>
  <c r="P9" i="1"/>
  <c r="O8" i="1"/>
  <c r="O9" i="1"/>
  <c r="P10" i="1"/>
  <c r="O10" i="1"/>
  <c r="P11" i="1"/>
  <c r="P12" i="1"/>
  <c r="O11" i="1"/>
  <c r="P13" i="1"/>
  <c r="O12" i="1"/>
  <c r="P14" i="1"/>
  <c r="O13" i="1"/>
  <c r="O14" i="1"/>
  <c r="O27" i="1"/>
  <c r="R27" i="1"/>
  <c r="D13" i="5" s="1"/>
  <c r="P28" i="1"/>
  <c r="N28" i="1"/>
  <c r="P18" i="1"/>
  <c r="P19" i="1"/>
  <c r="O19" i="1"/>
  <c r="P20" i="1"/>
  <c r="O20" i="1"/>
  <c r="P21" i="1"/>
  <c r="P22" i="1"/>
  <c r="O22" i="1"/>
  <c r="O21" i="1"/>
  <c r="P23" i="1"/>
  <c r="P24" i="1"/>
  <c r="O23" i="1"/>
  <c r="P25" i="1"/>
  <c r="O25" i="1"/>
  <c r="P26" i="1"/>
  <c r="O24" i="1"/>
  <c r="P27" i="1"/>
  <c r="T2" i="4"/>
  <c r="S2" i="4"/>
  <c r="V2" i="4" s="1"/>
  <c r="M2" i="4"/>
  <c r="L2" i="4"/>
  <c r="K2" i="4"/>
  <c r="J2" i="4"/>
  <c r="I2" i="4"/>
  <c r="AO131" i="1" l="1"/>
  <c r="R28" i="1"/>
  <c r="D14" i="5" s="1"/>
  <c r="O28" i="1"/>
  <c r="U2" i="4"/>
  <c r="I2" i="2"/>
  <c r="K2" i="2" s="1"/>
  <c r="F74" i="1"/>
  <c r="F60" i="1"/>
  <c r="F46" i="1"/>
  <c r="R2" i="4"/>
  <c r="Q2" i="4"/>
  <c r="N2" i="4"/>
  <c r="J42" i="2"/>
  <c r="H42" i="2"/>
  <c r="K42" i="2" s="1"/>
  <c r="N12" i="2"/>
  <c r="M20" i="2" s="1"/>
  <c r="N11" i="2"/>
  <c r="M16" i="2" s="1"/>
  <c r="I10" i="2"/>
  <c r="L25" i="2"/>
  <c r="G10" i="2"/>
  <c r="H10" i="2" s="1"/>
  <c r="W2" i="4" l="1"/>
  <c r="M25" i="2"/>
  <c r="N25" i="2" s="1"/>
  <c r="L2" i="2"/>
  <c r="K4" i="2"/>
  <c r="L20" i="2" s="1"/>
  <c r="N20" i="2" s="1"/>
  <c r="K10" i="2"/>
  <c r="O2" i="4"/>
  <c r="P2" i="4" s="1"/>
  <c r="L16" i="2"/>
  <c r="Y2" i="4" l="1"/>
  <c r="N2" i="2" s="1"/>
  <c r="AC2" i="2" s="1"/>
  <c r="X2" i="4"/>
  <c r="K5" i="2"/>
  <c r="K7" i="2" s="1"/>
  <c r="P2" i="2" s="1"/>
  <c r="N16" i="2"/>
  <c r="N22" i="2" s="1"/>
  <c r="N27" i="2" s="1"/>
  <c r="L37" i="2"/>
  <c r="M2" i="2" l="1"/>
  <c r="O2" i="2" s="1"/>
  <c r="O5" i="2" s="1"/>
  <c r="N29" i="2" s="1"/>
  <c r="N31" i="2" l="1"/>
  <c r="N36" i="2" s="1"/>
  <c r="K11" i="2" s="1"/>
  <c r="O4" i="2"/>
  <c r="AB2" i="2"/>
  <c r="N34" i="2" l="1"/>
  <c r="N35" i="2" s="1"/>
  <c r="T84" i="1"/>
  <c r="T83" i="1"/>
  <c r="T82" i="1"/>
  <c r="T81" i="1"/>
  <c r="T80" i="1"/>
  <c r="T79" i="1"/>
  <c r="T77" i="1"/>
  <c r="T76" i="1"/>
  <c r="T75" i="1"/>
  <c r="K75" i="1"/>
  <c r="K76" i="1" s="1"/>
  <c r="E75" i="1"/>
  <c r="F75" i="1" s="1"/>
  <c r="K77" i="1" l="1"/>
  <c r="K78" i="1" s="1"/>
  <c r="K79" i="1" s="1"/>
  <c r="K80" i="1" s="1"/>
  <c r="K81" i="1" s="1"/>
  <c r="V138" i="1"/>
  <c r="D75" i="1"/>
  <c r="S75" i="1"/>
  <c r="E76" i="1"/>
  <c r="F76" i="1" s="1"/>
  <c r="G75" i="1"/>
  <c r="T63" i="1"/>
  <c r="T62" i="1"/>
  <c r="T61" i="1"/>
  <c r="K61" i="1"/>
  <c r="K62" i="1" s="1"/>
  <c r="E61" i="1"/>
  <c r="F61" i="1" s="1"/>
  <c r="K82" i="1" l="1"/>
  <c r="K83" i="1" s="1"/>
  <c r="K84" i="1" s="1"/>
  <c r="D8" i="7"/>
  <c r="I8" i="7" s="1"/>
  <c r="K63" i="1"/>
  <c r="K64" i="1" s="1"/>
  <c r="K65" i="1" s="1"/>
  <c r="K66" i="1" s="1"/>
  <c r="K67" i="1" s="1"/>
  <c r="V137" i="1"/>
  <c r="I75" i="1"/>
  <c r="M75" i="1" s="1"/>
  <c r="BH5" i="1" s="1"/>
  <c r="BP5" i="1" s="1"/>
  <c r="H75" i="1"/>
  <c r="S76" i="1"/>
  <c r="E77" i="1"/>
  <c r="G76" i="1"/>
  <c r="D76" i="1"/>
  <c r="D61" i="1"/>
  <c r="S61" i="1"/>
  <c r="E62" i="1"/>
  <c r="F62" i="1" s="1"/>
  <c r="G61" i="1"/>
  <c r="T48" i="1"/>
  <c r="T47" i="1"/>
  <c r="E47" i="1"/>
  <c r="K68" i="1" l="1"/>
  <c r="K69" i="1" s="1"/>
  <c r="K70" i="1" s="1"/>
  <c r="D7" i="7"/>
  <c r="I7" i="7" s="1"/>
  <c r="AN9" i="1"/>
  <c r="AU9" i="1" s="1"/>
  <c r="Q269" i="1"/>
  <c r="R269" i="1" s="1"/>
  <c r="V75" i="1"/>
  <c r="F77" i="1"/>
  <c r="E78" i="1"/>
  <c r="D47" i="1"/>
  <c r="F47" i="1"/>
  <c r="E48" i="1"/>
  <c r="E49" i="1" s="1"/>
  <c r="E50" i="1" s="1"/>
  <c r="E51" i="1" s="1"/>
  <c r="E52" i="1" s="1"/>
  <c r="E53" i="1" s="1"/>
  <c r="E54" i="1" s="1"/>
  <c r="E55" i="1" s="1"/>
  <c r="E56" i="1" s="1"/>
  <c r="G77" i="1"/>
  <c r="D77" i="1"/>
  <c r="S77" i="1"/>
  <c r="H76" i="1"/>
  <c r="I76" i="1"/>
  <c r="M76" i="1" s="1"/>
  <c r="BH6" i="1" s="1"/>
  <c r="N75" i="1"/>
  <c r="I61" i="1"/>
  <c r="M61" i="1" s="1"/>
  <c r="H61" i="1"/>
  <c r="S62" i="1"/>
  <c r="E63" i="1"/>
  <c r="G62" i="1"/>
  <c r="D62" i="1"/>
  <c r="S47" i="1"/>
  <c r="K47" i="1"/>
  <c r="K48" i="1" s="1"/>
  <c r="G47" i="1"/>
  <c r="CB26" i="1" l="1"/>
  <c r="BP6" i="1"/>
  <c r="AO9" i="1"/>
  <c r="BG5" i="1"/>
  <c r="BO5" i="1" s="1"/>
  <c r="AN8" i="1"/>
  <c r="K49" i="1"/>
  <c r="K50" i="1" s="1"/>
  <c r="K51" i="1" s="1"/>
  <c r="K52" i="1" s="1"/>
  <c r="K53" i="1" s="1"/>
  <c r="V136" i="1"/>
  <c r="V139" i="1" s="1"/>
  <c r="AN23" i="1"/>
  <c r="AO23" i="1" s="1"/>
  <c r="Q270" i="1"/>
  <c r="R270" i="1" s="1"/>
  <c r="Q151" i="1"/>
  <c r="R151" i="1" s="1"/>
  <c r="Q257" i="1"/>
  <c r="R257" i="1" s="1"/>
  <c r="AU23" i="1"/>
  <c r="V76" i="1"/>
  <c r="V61" i="1"/>
  <c r="E79" i="1"/>
  <c r="G79" i="1" s="1"/>
  <c r="F78" i="1"/>
  <c r="S78" i="1"/>
  <c r="G78" i="1"/>
  <c r="D78" i="1"/>
  <c r="F63" i="1"/>
  <c r="E64" i="1"/>
  <c r="F48" i="1"/>
  <c r="S48" i="1"/>
  <c r="D48" i="1"/>
  <c r="G48" i="1"/>
  <c r="R75" i="1"/>
  <c r="H5" i="5" s="1"/>
  <c r="N76" i="1"/>
  <c r="I77" i="1"/>
  <c r="M77" i="1" s="1"/>
  <c r="H77" i="1"/>
  <c r="G63" i="1"/>
  <c r="D63" i="1"/>
  <c r="S63" i="1"/>
  <c r="H62" i="1"/>
  <c r="I62" i="1"/>
  <c r="M62" i="1" s="1"/>
  <c r="N61" i="1"/>
  <c r="I47" i="1"/>
  <c r="M47" i="1" s="1"/>
  <c r="H47" i="1"/>
  <c r="K54" i="1" l="1"/>
  <c r="K55" i="1" s="1"/>
  <c r="K56" i="1" s="1"/>
  <c r="D6" i="7"/>
  <c r="I6" i="7" s="1"/>
  <c r="I9" i="7" s="1"/>
  <c r="AU8" i="1"/>
  <c r="AO8" i="1"/>
  <c r="BG6" i="1"/>
  <c r="AN22" i="1"/>
  <c r="BF5" i="1"/>
  <c r="BN5" i="1" s="1"/>
  <c r="AN7" i="1"/>
  <c r="K150" i="1"/>
  <c r="BH7" i="1"/>
  <c r="BP7" i="1" s="1"/>
  <c r="Q245" i="1"/>
  <c r="R245" i="1" s="1"/>
  <c r="Q271" i="1"/>
  <c r="R271" i="1" s="1"/>
  <c r="Q258" i="1"/>
  <c r="R258" i="1" s="1"/>
  <c r="Q145" i="1"/>
  <c r="R145" i="1" s="1"/>
  <c r="V77" i="1"/>
  <c r="AN37" i="1"/>
  <c r="AO6" i="1"/>
  <c r="V47" i="1"/>
  <c r="V62" i="1"/>
  <c r="H78" i="1"/>
  <c r="I78" i="1"/>
  <c r="M78" i="1" s="1"/>
  <c r="BH8" i="1" s="1"/>
  <c r="S79" i="1"/>
  <c r="E80" i="1"/>
  <c r="D79" i="1"/>
  <c r="F79" i="1"/>
  <c r="E65" i="1"/>
  <c r="S64" i="1"/>
  <c r="F64" i="1"/>
  <c r="D64" i="1"/>
  <c r="G64" i="1"/>
  <c r="S49" i="1"/>
  <c r="D49" i="1"/>
  <c r="G49" i="1"/>
  <c r="F49" i="1"/>
  <c r="I48" i="1"/>
  <c r="M48" i="1" s="1"/>
  <c r="H48" i="1"/>
  <c r="I79" i="1"/>
  <c r="M79" i="1" s="1"/>
  <c r="H79" i="1"/>
  <c r="R76" i="1"/>
  <c r="H6" i="5" s="1"/>
  <c r="N77" i="1"/>
  <c r="R61" i="1"/>
  <c r="G5" i="5" s="1"/>
  <c r="N62" i="1"/>
  <c r="I63" i="1"/>
  <c r="M63" i="1" s="1"/>
  <c r="H63" i="1"/>
  <c r="N47" i="1"/>
  <c r="CB27" i="1" l="1"/>
  <c r="BP8" i="1"/>
  <c r="CA26" i="1"/>
  <c r="BO6" i="1"/>
  <c r="AU22" i="1"/>
  <c r="AO22" i="1"/>
  <c r="BG7" i="1"/>
  <c r="BO7" i="1" s="1"/>
  <c r="K144" i="1"/>
  <c r="L144" i="1" s="1"/>
  <c r="AN36" i="1"/>
  <c r="AN21" i="1"/>
  <c r="BF6" i="1"/>
  <c r="AU7" i="1"/>
  <c r="AO7" i="1"/>
  <c r="N79" i="1"/>
  <c r="L150" i="1"/>
  <c r="Q273" i="1"/>
  <c r="BH9" i="1"/>
  <c r="BP9" i="1" s="1"/>
  <c r="Q259" i="1"/>
  <c r="R259" i="1" s="1"/>
  <c r="AU20" i="1"/>
  <c r="Q246" i="1"/>
  <c r="R246" i="1" s="1"/>
  <c r="Q139" i="1"/>
  <c r="R139" i="1" s="1"/>
  <c r="AN51" i="1"/>
  <c r="AU51" i="1" s="1"/>
  <c r="Q272" i="1"/>
  <c r="R272" i="1" s="1"/>
  <c r="Q152" i="1"/>
  <c r="R152" i="1" s="1"/>
  <c r="V79" i="1"/>
  <c r="AN65" i="1"/>
  <c r="AU37" i="1"/>
  <c r="AO37" i="1"/>
  <c r="V63" i="1"/>
  <c r="AO51" i="1"/>
  <c r="N78" i="1"/>
  <c r="R78" i="1" s="1"/>
  <c r="H8" i="5" s="1"/>
  <c r="V78" i="1"/>
  <c r="N48" i="1"/>
  <c r="R48" i="1" s="1"/>
  <c r="F6" i="5" s="1"/>
  <c r="V48" i="1"/>
  <c r="S80" i="1"/>
  <c r="E81" i="1"/>
  <c r="D80" i="1"/>
  <c r="F80" i="1"/>
  <c r="G80" i="1"/>
  <c r="I80" i="1" s="1"/>
  <c r="M80" i="1" s="1"/>
  <c r="H64" i="1"/>
  <c r="I64" i="1"/>
  <c r="M64" i="1" s="1"/>
  <c r="S65" i="1"/>
  <c r="F65" i="1"/>
  <c r="D65" i="1"/>
  <c r="G65" i="1"/>
  <c r="E66" i="1"/>
  <c r="H49" i="1"/>
  <c r="I49" i="1"/>
  <c r="M49" i="1" s="1"/>
  <c r="BF7" i="1" s="1"/>
  <c r="BN7" i="1" s="1"/>
  <c r="G50" i="1"/>
  <c r="S50" i="1"/>
  <c r="D50" i="1"/>
  <c r="F50" i="1"/>
  <c r="R77" i="1"/>
  <c r="H7" i="5" s="1"/>
  <c r="R79" i="1"/>
  <c r="H9" i="5" s="1"/>
  <c r="R62" i="1"/>
  <c r="G6" i="5" s="1"/>
  <c r="N63" i="1"/>
  <c r="R47" i="1"/>
  <c r="F5" i="5" s="1"/>
  <c r="BZ26" i="1" l="1"/>
  <c r="BN6" i="1"/>
  <c r="AN50" i="1"/>
  <c r="AU50" i="1" s="1"/>
  <c r="BG8" i="1"/>
  <c r="AU36" i="1"/>
  <c r="AO36" i="1"/>
  <c r="AO21" i="1"/>
  <c r="AU21" i="1"/>
  <c r="AU25" i="1" s="1"/>
  <c r="AU26" i="1" s="1"/>
  <c r="K146" i="1"/>
  <c r="K151" i="1"/>
  <c r="L151" i="1" s="1"/>
  <c r="BH10" i="1"/>
  <c r="AO50" i="1"/>
  <c r="K138" i="1"/>
  <c r="L138" i="1" s="1"/>
  <c r="AN35" i="1"/>
  <c r="AO35" i="1" s="1"/>
  <c r="AO20" i="1"/>
  <c r="Q247" i="1"/>
  <c r="R247" i="1" s="1"/>
  <c r="L132" i="1"/>
  <c r="Q274" i="1"/>
  <c r="R274" i="1" s="1"/>
  <c r="Q153" i="1"/>
  <c r="R153" i="1" s="1"/>
  <c r="R273" i="1"/>
  <c r="Q260" i="1"/>
  <c r="R260" i="1" s="1"/>
  <c r="Q146" i="1"/>
  <c r="R146" i="1" s="1"/>
  <c r="V64" i="1"/>
  <c r="AU65" i="1"/>
  <c r="AO65" i="1"/>
  <c r="V49" i="1"/>
  <c r="V80" i="1"/>
  <c r="AN79" i="1"/>
  <c r="H80" i="1"/>
  <c r="S81" i="1"/>
  <c r="E82" i="1"/>
  <c r="D81" i="1"/>
  <c r="F81" i="1"/>
  <c r="G81" i="1"/>
  <c r="G66" i="1"/>
  <c r="S66" i="1"/>
  <c r="D66" i="1"/>
  <c r="F66" i="1"/>
  <c r="E67" i="1"/>
  <c r="H65" i="1"/>
  <c r="I65" i="1"/>
  <c r="M65" i="1" s="1"/>
  <c r="N64" i="1"/>
  <c r="R64" i="1" s="1"/>
  <c r="G8" i="5" s="1"/>
  <c r="N49" i="1"/>
  <c r="I50" i="1"/>
  <c r="M50" i="1" s="1"/>
  <c r="H50" i="1"/>
  <c r="S51" i="1"/>
  <c r="G51" i="1"/>
  <c r="D51" i="1"/>
  <c r="F51" i="1"/>
  <c r="N80" i="1"/>
  <c r="R80" i="1" s="1"/>
  <c r="H10" i="5" s="1"/>
  <c r="R63" i="1"/>
  <c r="G7" i="5" s="1"/>
  <c r="CB28" i="1" l="1"/>
  <c r="BP10" i="1"/>
  <c r="CA27" i="1"/>
  <c r="BO8" i="1"/>
  <c r="AN64" i="1"/>
  <c r="BG9" i="1"/>
  <c r="BO9" i="1" s="1"/>
  <c r="AN49" i="1"/>
  <c r="AU49" i="1" s="1"/>
  <c r="BF8" i="1"/>
  <c r="AU24" i="1"/>
  <c r="AV24" i="1" s="1"/>
  <c r="AU35" i="1"/>
  <c r="AO64" i="1"/>
  <c r="AU64" i="1"/>
  <c r="Q248" i="1"/>
  <c r="R248" i="1" s="1"/>
  <c r="Q140" i="1"/>
  <c r="R140" i="1" s="1"/>
  <c r="V65" i="1"/>
  <c r="Q261" i="1"/>
  <c r="R261" i="1" s="1"/>
  <c r="AV25" i="1"/>
  <c r="AU28" i="1"/>
  <c r="V50" i="1"/>
  <c r="AO34" i="1"/>
  <c r="AU79" i="1"/>
  <c r="AO79" i="1"/>
  <c r="S82" i="1"/>
  <c r="D82" i="1"/>
  <c r="E83" i="1"/>
  <c r="F82" i="1"/>
  <c r="G82" i="1"/>
  <c r="I81" i="1"/>
  <c r="M81" i="1" s="1"/>
  <c r="H81" i="1"/>
  <c r="C8" i="7" s="1"/>
  <c r="H8" i="7" s="1"/>
  <c r="G67" i="1"/>
  <c r="D67" i="1"/>
  <c r="F67" i="1"/>
  <c r="E68" i="1"/>
  <c r="S67" i="1"/>
  <c r="H66" i="1"/>
  <c r="I66" i="1"/>
  <c r="M66" i="1" s="1"/>
  <c r="BG10" i="1" s="1"/>
  <c r="N65" i="1"/>
  <c r="I51" i="1"/>
  <c r="M51" i="1" s="1"/>
  <c r="BF9" i="1" s="1"/>
  <c r="H51" i="1"/>
  <c r="N50" i="1"/>
  <c r="F52" i="1"/>
  <c r="D52" i="1"/>
  <c r="S52" i="1"/>
  <c r="G52" i="1"/>
  <c r="R49" i="1"/>
  <c r="F7" i="5" s="1"/>
  <c r="CA28" i="1" l="1"/>
  <c r="BO10" i="1"/>
  <c r="BZ27" i="1"/>
  <c r="BN8" i="1"/>
  <c r="BN9" i="1"/>
  <c r="AO49" i="1"/>
  <c r="F8" i="7"/>
  <c r="BH11" i="1"/>
  <c r="BP11" i="1" s="1"/>
  <c r="K147" i="1"/>
  <c r="AZ20" i="1"/>
  <c r="V122" i="1"/>
  <c r="K145" i="1"/>
  <c r="L145" i="1" s="1"/>
  <c r="AN78" i="1"/>
  <c r="Q249" i="1"/>
  <c r="R249" i="1" s="1"/>
  <c r="AN63" i="1"/>
  <c r="Q262" i="1"/>
  <c r="R262" i="1" s="1"/>
  <c r="Q147" i="1"/>
  <c r="R147" i="1" s="1"/>
  <c r="AN93" i="1"/>
  <c r="AO93" i="1" s="1"/>
  <c r="Q275" i="1"/>
  <c r="R275" i="1" s="1"/>
  <c r="V51" i="1"/>
  <c r="V66" i="1"/>
  <c r="AO48" i="1"/>
  <c r="AU48" i="1"/>
  <c r="AU53" i="1" s="1"/>
  <c r="AU54" i="1" s="1"/>
  <c r="N81" i="1"/>
  <c r="R81" i="1" s="1"/>
  <c r="H11" i="5" s="1"/>
  <c r="V81" i="1"/>
  <c r="S83" i="1"/>
  <c r="E84" i="1"/>
  <c r="D83" i="1"/>
  <c r="F83" i="1"/>
  <c r="G83" i="1"/>
  <c r="I82" i="1"/>
  <c r="M82" i="1" s="1"/>
  <c r="BH12" i="1" s="1"/>
  <c r="H82" i="1"/>
  <c r="R65" i="1"/>
  <c r="G9" i="5" s="1"/>
  <c r="G68" i="1"/>
  <c r="F68" i="1"/>
  <c r="E69" i="1"/>
  <c r="D68" i="1"/>
  <c r="S68" i="1"/>
  <c r="N66" i="1"/>
  <c r="H67" i="1"/>
  <c r="C7" i="7" s="1"/>
  <c r="H7" i="7" s="1"/>
  <c r="I67" i="1"/>
  <c r="M67" i="1" s="1"/>
  <c r="R50" i="1"/>
  <c r="F8" i="5" s="1"/>
  <c r="I52" i="1"/>
  <c r="M52" i="1" s="1"/>
  <c r="BF10" i="1" s="1"/>
  <c r="H52" i="1"/>
  <c r="F53" i="1"/>
  <c r="D53" i="1"/>
  <c r="G53" i="1"/>
  <c r="S53" i="1"/>
  <c r="N51" i="1"/>
  <c r="BZ28" i="1" l="1"/>
  <c r="BN10" i="1"/>
  <c r="CB29" i="1"/>
  <c r="BP12" i="1"/>
  <c r="BB20" i="1"/>
  <c r="BG20" i="1"/>
  <c r="F7" i="7"/>
  <c r="BG11" i="1"/>
  <c r="BO11" i="1" s="1"/>
  <c r="AO78" i="1"/>
  <c r="AU78" i="1"/>
  <c r="Q263" i="1"/>
  <c r="R263" i="1" s="1"/>
  <c r="AN92" i="1"/>
  <c r="K139" i="1"/>
  <c r="L139" i="1" s="1"/>
  <c r="AN77" i="1"/>
  <c r="AU77" i="1" s="1"/>
  <c r="AU63" i="1"/>
  <c r="AO63" i="1"/>
  <c r="AU93" i="1"/>
  <c r="Q250" i="1"/>
  <c r="R250" i="1" s="1"/>
  <c r="Q141" i="1"/>
  <c r="R141" i="1" s="1"/>
  <c r="L133" i="1"/>
  <c r="AN107" i="1"/>
  <c r="AU107" i="1" s="1"/>
  <c r="Q276" i="1"/>
  <c r="R276" i="1" s="1"/>
  <c r="Q154" i="1"/>
  <c r="R154" i="1" s="1"/>
  <c r="AU52" i="1"/>
  <c r="AV52" i="1" s="1"/>
  <c r="AU62" i="1"/>
  <c r="AO62" i="1"/>
  <c r="V52" i="1"/>
  <c r="V67" i="1"/>
  <c r="N82" i="1"/>
  <c r="R82" i="1" s="1"/>
  <c r="H12" i="5" s="1"/>
  <c r="V82" i="1"/>
  <c r="S84" i="1"/>
  <c r="D84" i="1"/>
  <c r="F84" i="1"/>
  <c r="G84" i="1"/>
  <c r="I83" i="1"/>
  <c r="M83" i="1" s="1"/>
  <c r="H83" i="1"/>
  <c r="R66" i="1"/>
  <c r="G10" i="5" s="1"/>
  <c r="N67" i="1"/>
  <c r="H68" i="1"/>
  <c r="I68" i="1"/>
  <c r="M68" i="1" s="1"/>
  <c r="G69" i="1"/>
  <c r="D69" i="1"/>
  <c r="S69" i="1"/>
  <c r="F69" i="1"/>
  <c r="E70" i="1"/>
  <c r="I53" i="1"/>
  <c r="M53" i="1" s="1"/>
  <c r="H53" i="1"/>
  <c r="C6" i="7" s="1"/>
  <c r="H6" i="7" s="1"/>
  <c r="H9" i="7" s="1"/>
  <c r="L9" i="7" s="1"/>
  <c r="N52" i="1"/>
  <c r="R51" i="1"/>
  <c r="D54" i="1"/>
  <c r="S54" i="1"/>
  <c r="G54" i="1"/>
  <c r="F54" i="1"/>
  <c r="BH20" i="1" l="1"/>
  <c r="BL20" i="1" s="1"/>
  <c r="BM20" i="1"/>
  <c r="BN34" i="1" s="1"/>
  <c r="AN106" i="1"/>
  <c r="AU106" i="1" s="1"/>
  <c r="BG12" i="1"/>
  <c r="F6" i="7"/>
  <c r="BF11" i="1"/>
  <c r="BN11" i="1" s="1"/>
  <c r="Q277" i="1"/>
  <c r="R277" i="1" s="1"/>
  <c r="BH13" i="1"/>
  <c r="BP13" i="1" s="1"/>
  <c r="K152" i="1"/>
  <c r="L152" i="1" s="1"/>
  <c r="F9" i="5"/>
  <c r="AU67" i="1"/>
  <c r="AU68" i="1" s="1"/>
  <c r="AU92" i="1"/>
  <c r="AO92" i="1"/>
  <c r="Q251" i="1"/>
  <c r="R251" i="1" s="1"/>
  <c r="AN91" i="1"/>
  <c r="AU91" i="1" s="1"/>
  <c r="AO77" i="1"/>
  <c r="AO107" i="1"/>
  <c r="Q264" i="1"/>
  <c r="R264" i="1" s="1"/>
  <c r="Q148" i="1"/>
  <c r="R148" i="1" s="1"/>
  <c r="AV53" i="1"/>
  <c r="AU56" i="1"/>
  <c r="AZ22" i="1" s="1"/>
  <c r="AN121" i="1"/>
  <c r="AU121" i="1" s="1"/>
  <c r="L146" i="1"/>
  <c r="V68" i="1"/>
  <c r="AU76" i="1"/>
  <c r="AO76" i="1"/>
  <c r="AU66" i="1"/>
  <c r="V53" i="1"/>
  <c r="N83" i="1"/>
  <c r="R83" i="1" s="1"/>
  <c r="H13" i="5" s="1"/>
  <c r="V83" i="1"/>
  <c r="I84" i="1"/>
  <c r="M84" i="1" s="1"/>
  <c r="H84" i="1"/>
  <c r="S70" i="1"/>
  <c r="F70" i="1"/>
  <c r="D70" i="1"/>
  <c r="G70" i="1"/>
  <c r="I69" i="1"/>
  <c r="M69" i="1" s="1"/>
  <c r="BG13" i="1" s="1"/>
  <c r="H69" i="1"/>
  <c r="R67" i="1"/>
  <c r="G11" i="5" s="1"/>
  <c r="N68" i="1"/>
  <c r="R52" i="1"/>
  <c r="F10" i="5" s="1"/>
  <c r="I54" i="1"/>
  <c r="M54" i="1" s="1"/>
  <c r="H54" i="1"/>
  <c r="S55" i="1"/>
  <c r="D55" i="1"/>
  <c r="G55" i="1"/>
  <c r="F55" i="1"/>
  <c r="N53" i="1"/>
  <c r="BO13" i="1" l="1"/>
  <c r="BB22" i="1"/>
  <c r="BG22" i="1"/>
  <c r="AO106" i="1"/>
  <c r="CA29" i="1"/>
  <c r="BO12" i="1"/>
  <c r="AO91" i="1"/>
  <c r="AN105" i="1"/>
  <c r="AU105" i="1" s="1"/>
  <c r="BF12" i="1"/>
  <c r="AV66" i="1"/>
  <c r="AY66" i="1"/>
  <c r="AY67" i="1" s="1"/>
  <c r="V124" i="1"/>
  <c r="BH14" i="1"/>
  <c r="K153" i="1"/>
  <c r="L153" i="1" s="1"/>
  <c r="Q265" i="1"/>
  <c r="R265" i="1" s="1"/>
  <c r="AN120" i="1"/>
  <c r="P34" i="1"/>
  <c r="P33" i="1"/>
  <c r="O34" i="1"/>
  <c r="P35" i="1"/>
  <c r="O33" i="1"/>
  <c r="P36" i="1"/>
  <c r="O35" i="1"/>
  <c r="P37" i="1"/>
  <c r="O36" i="1"/>
  <c r="O37" i="1"/>
  <c r="P38" i="1"/>
  <c r="O38" i="1"/>
  <c r="P39" i="1"/>
  <c r="O39" i="1"/>
  <c r="P40" i="1"/>
  <c r="P41" i="1"/>
  <c r="O40" i="1"/>
  <c r="O41" i="1"/>
  <c r="P42" i="1"/>
  <c r="O42" i="1"/>
  <c r="AO121" i="1"/>
  <c r="Q278" i="1"/>
  <c r="R278" i="1" s="1"/>
  <c r="Q155" i="1"/>
  <c r="R155" i="1" s="1"/>
  <c r="Q252" i="1"/>
  <c r="R252" i="1" s="1"/>
  <c r="Q142" i="1"/>
  <c r="R142" i="1" s="1"/>
  <c r="AV67" i="1"/>
  <c r="AU70" i="1"/>
  <c r="AZ23" i="1" s="1"/>
  <c r="L147" i="1"/>
  <c r="AU90" i="1"/>
  <c r="AU95" i="1" s="1"/>
  <c r="AU96" i="1" s="1"/>
  <c r="AO90" i="1"/>
  <c r="V84" i="1"/>
  <c r="AN135" i="1"/>
  <c r="V54" i="1"/>
  <c r="N69" i="1"/>
  <c r="R69" i="1" s="1"/>
  <c r="G13" i="5" s="1"/>
  <c r="V69" i="1"/>
  <c r="P77" i="1"/>
  <c r="O77" i="1"/>
  <c r="O78" i="1"/>
  <c r="O80" i="1"/>
  <c r="P83" i="1"/>
  <c r="P78" i="1"/>
  <c r="P75" i="1"/>
  <c r="O83" i="1"/>
  <c r="P80" i="1"/>
  <c r="O81" i="1"/>
  <c r="P79" i="1"/>
  <c r="O82" i="1"/>
  <c r="O79" i="1"/>
  <c r="P81" i="1"/>
  <c r="P84" i="1"/>
  <c r="P82" i="1"/>
  <c r="O75" i="1"/>
  <c r="P76" i="1"/>
  <c r="N84" i="1"/>
  <c r="O76" i="1"/>
  <c r="I70" i="1"/>
  <c r="M70" i="1" s="1"/>
  <c r="H70" i="1"/>
  <c r="R68" i="1"/>
  <c r="G12" i="5" s="1"/>
  <c r="N54" i="1"/>
  <c r="H55" i="1"/>
  <c r="I55" i="1"/>
  <c r="M55" i="1" s="1"/>
  <c r="BF13" i="1" s="1"/>
  <c r="R53" i="1"/>
  <c r="D56" i="1"/>
  <c r="S56" i="1"/>
  <c r="G56" i="1"/>
  <c r="F56" i="1"/>
  <c r="F11" i="5" l="1"/>
  <c r="AF11" i="1"/>
  <c r="BN13" i="1"/>
  <c r="AO105" i="1"/>
  <c r="CB30" i="1"/>
  <c r="BP14" i="1"/>
  <c r="BA23" i="1"/>
  <c r="BB23" i="1"/>
  <c r="BC23" i="1" s="1"/>
  <c r="BQ23" i="1"/>
  <c r="BM22" i="1"/>
  <c r="BN33" i="1" s="1"/>
  <c r="BH22" i="1"/>
  <c r="BL22" i="1" s="1"/>
  <c r="BZ29" i="1"/>
  <c r="BN12" i="1"/>
  <c r="AN134" i="1"/>
  <c r="AO134" i="1" s="1"/>
  <c r="BG14" i="1"/>
  <c r="V125" i="1"/>
  <c r="AO120" i="1"/>
  <c r="AU120" i="1"/>
  <c r="K140" i="1"/>
  <c r="L140" i="1" s="1"/>
  <c r="AN119" i="1"/>
  <c r="AO119" i="1" s="1"/>
  <c r="Q253" i="1"/>
  <c r="R253" i="1" s="1"/>
  <c r="L134" i="1"/>
  <c r="Q266" i="1"/>
  <c r="R266" i="1" s="1"/>
  <c r="Q149" i="1"/>
  <c r="R149" i="1" s="1"/>
  <c r="V55" i="1"/>
  <c r="AU104" i="1"/>
  <c r="AU109" i="1" s="1"/>
  <c r="AU110" i="1" s="1"/>
  <c r="AO104" i="1"/>
  <c r="AU135" i="1"/>
  <c r="AO135" i="1"/>
  <c r="V70" i="1"/>
  <c r="AU94" i="1"/>
  <c r="AV94" i="1" s="1"/>
  <c r="O69" i="1"/>
  <c r="O68" i="1"/>
  <c r="O84" i="1"/>
  <c r="R84" i="1"/>
  <c r="P69" i="1"/>
  <c r="P70" i="1"/>
  <c r="N70" i="1"/>
  <c r="P61" i="1"/>
  <c r="O61" i="1"/>
  <c r="P62" i="1"/>
  <c r="P63" i="1"/>
  <c r="O62" i="1"/>
  <c r="P64" i="1"/>
  <c r="O64" i="1"/>
  <c r="O63" i="1"/>
  <c r="P65" i="1"/>
  <c r="P66" i="1"/>
  <c r="O65" i="1"/>
  <c r="P67" i="1"/>
  <c r="O66" i="1"/>
  <c r="P68" i="1"/>
  <c r="O67" i="1"/>
  <c r="N55" i="1"/>
  <c r="I56" i="1"/>
  <c r="M56" i="1" s="1"/>
  <c r="BF14" i="1" s="1"/>
  <c r="H56" i="1"/>
  <c r="R54" i="1"/>
  <c r="CH29" i="1" l="1"/>
  <c r="CC29" i="1"/>
  <c r="CD29" i="1" s="1"/>
  <c r="F12" i="5"/>
  <c r="AF12" i="1"/>
  <c r="CJ30" i="1"/>
  <c r="H14" i="5"/>
  <c r="AH14" i="1"/>
  <c r="AU134" i="1"/>
  <c r="BN35" i="1"/>
  <c r="BO35" i="1" s="1"/>
  <c r="BO34" i="1"/>
  <c r="CA30" i="1"/>
  <c r="BO14" i="1"/>
  <c r="BS23" i="1"/>
  <c r="BZ30" i="1"/>
  <c r="CH30" i="1" s="1"/>
  <c r="BN14" i="1"/>
  <c r="AU119" i="1"/>
  <c r="W125" i="1"/>
  <c r="X125" i="1"/>
  <c r="K141" i="1"/>
  <c r="L141" i="1" s="1"/>
  <c r="AN133" i="1"/>
  <c r="AO133" i="1" s="1"/>
  <c r="O32" i="1"/>
  <c r="P32" i="1"/>
  <c r="AU132" i="1"/>
  <c r="Q254" i="1"/>
  <c r="R254" i="1" s="1"/>
  <c r="Q143" i="1"/>
  <c r="R143" i="1" s="1"/>
  <c r="L135" i="1"/>
  <c r="AV95" i="1"/>
  <c r="AU98" i="1"/>
  <c r="AU108" i="1"/>
  <c r="AV108" i="1" s="1"/>
  <c r="AU118" i="1"/>
  <c r="AO118" i="1"/>
  <c r="O4" i="1"/>
  <c r="V56" i="1"/>
  <c r="R70" i="1"/>
  <c r="G14" i="5" s="1"/>
  <c r="O70" i="1"/>
  <c r="P56" i="1"/>
  <c r="N56" i="1"/>
  <c r="P49" i="1"/>
  <c r="O49" i="1"/>
  <c r="P50" i="1"/>
  <c r="P51" i="1"/>
  <c r="O50" i="1"/>
  <c r="O51" i="1"/>
  <c r="P52" i="1"/>
  <c r="O74" i="1"/>
  <c r="P48" i="1"/>
  <c r="P47" i="1"/>
  <c r="O60" i="1"/>
  <c r="O46" i="1"/>
  <c r="O18" i="1"/>
  <c r="O47" i="1"/>
  <c r="O52" i="1"/>
  <c r="P74" i="1"/>
  <c r="P60" i="1"/>
  <c r="P53" i="1"/>
  <c r="O48" i="1"/>
  <c r="P46" i="1"/>
  <c r="P54" i="1"/>
  <c r="O53" i="1"/>
  <c r="P55" i="1"/>
  <c r="O54" i="1"/>
  <c r="R55" i="1"/>
  <c r="O55" i="1"/>
  <c r="F13" i="5" l="1"/>
  <c r="AF13" i="1"/>
  <c r="CC30" i="1"/>
  <c r="CD30" i="1" s="1"/>
  <c r="AU123" i="1"/>
  <c r="AU124" i="1" s="1"/>
  <c r="AU133" i="1"/>
  <c r="AU137" i="1" s="1"/>
  <c r="AU138" i="1" s="1"/>
  <c r="AZ25" i="1"/>
  <c r="V127" i="1"/>
  <c r="AO132" i="1"/>
  <c r="AV109" i="1"/>
  <c r="AU112" i="1"/>
  <c r="AZ26" i="1" s="1"/>
  <c r="AU122" i="1"/>
  <c r="AV122" i="1" s="1"/>
  <c r="R56" i="1"/>
  <c r="O56" i="1"/>
  <c r="F14" i="5" l="1"/>
  <c r="AF14" i="1"/>
  <c r="AU136" i="1"/>
  <c r="AV136" i="1" s="1"/>
  <c r="BB25" i="1"/>
  <c r="BQ25" i="1"/>
  <c r="BG26" i="1"/>
  <c r="BM26" i="1" s="1"/>
  <c r="BB26" i="1"/>
  <c r="R57" i="1"/>
  <c r="BA26" i="1"/>
  <c r="AZ105" i="1"/>
  <c r="V128" i="1"/>
  <c r="W128" i="1" s="1"/>
  <c r="AV123" i="1"/>
  <c r="AU126" i="1"/>
  <c r="AZ27" i="1" s="1"/>
  <c r="BB27" i="1" s="1"/>
  <c r="AV137" i="1"/>
  <c r="AU140" i="1"/>
  <c r="AZ28" i="1" s="1"/>
  <c r="BC26" i="1" l="1"/>
  <c r="BC27" i="1"/>
  <c r="BG28" i="1"/>
  <c r="BM28" i="1" s="1"/>
  <c r="BQ28" i="1"/>
  <c r="BB28" i="1"/>
  <c r="BC28" i="1" s="1"/>
  <c r="BS25" i="1"/>
  <c r="BT25" i="1" s="1"/>
  <c r="BR25" i="1"/>
  <c r="X128" i="1"/>
  <c r="BA28" i="1"/>
  <c r="BA27" i="1"/>
  <c r="V129" i="1"/>
  <c r="V130" i="1"/>
  <c r="BH28" i="1" l="1"/>
  <c r="BL28" i="1" s="1"/>
  <c r="BR28" i="1"/>
  <c r="BS28" i="1"/>
  <c r="BT28" i="1" s="1"/>
  <c r="W129" i="1"/>
  <c r="Y138" i="1" s="1"/>
  <c r="X130" i="1"/>
  <c r="W130" i="1"/>
  <c r="AU6" i="1" l="1"/>
  <c r="AV6" i="1"/>
  <c r="AU4" i="1" l="1"/>
  <c r="AU10" i="1" s="1"/>
  <c r="AV10" i="1" s="1"/>
  <c r="AV4" i="1"/>
  <c r="AW4" i="1" s="1"/>
  <c r="AW5" i="1" s="1"/>
  <c r="AW6" i="1" s="1"/>
  <c r="AW7" i="1" s="1"/>
  <c r="AW8" i="1" s="1"/>
  <c r="AW9" i="1" s="1"/>
  <c r="AU11" i="1" l="1"/>
  <c r="AU12" i="1" s="1"/>
  <c r="AV11" i="1" l="1"/>
  <c r="AU14" i="1"/>
  <c r="AZ19" i="1" s="1"/>
  <c r="BB19" i="1" s="1"/>
  <c r="BC19" i="1" l="1"/>
  <c r="BC20" i="1"/>
  <c r="BA19" i="1"/>
  <c r="BA20" i="1"/>
  <c r="V121" i="1"/>
  <c r="W122" i="1" l="1"/>
  <c r="W121" i="1"/>
  <c r="Y134" i="1" l="1"/>
  <c r="AT32" i="1"/>
  <c r="AU32" i="1" s="1"/>
  <c r="AV34" i="1"/>
  <c r="AU34" i="1"/>
  <c r="AT39" i="1" l="1"/>
  <c r="AV32" i="1"/>
  <c r="AW32" i="1" s="1"/>
  <c r="AW33" i="1" s="1"/>
  <c r="AW34" i="1" s="1"/>
  <c r="AW35" i="1" s="1"/>
  <c r="AW36" i="1" s="1"/>
  <c r="AW37" i="1" s="1"/>
  <c r="AU39" i="1"/>
  <c r="AU40" i="1" s="1"/>
  <c r="AU38" i="1"/>
  <c r="AV38" i="1" s="1"/>
  <c r="AU42" i="1" l="1"/>
  <c r="AV39" i="1"/>
  <c r="AZ21" i="1" l="1"/>
  <c r="AX42" i="1"/>
  <c r="V123" i="1"/>
  <c r="X123" i="1" s="1"/>
  <c r="BB21" i="1" l="1"/>
  <c r="BQ20" i="1"/>
  <c r="AZ106" i="1"/>
  <c r="AY107" i="1" s="1"/>
  <c r="AX43" i="1"/>
  <c r="BA21" i="1"/>
  <c r="BA22" i="1"/>
  <c r="W124" i="1"/>
  <c r="W123" i="1"/>
  <c r="BS20" i="1" l="1"/>
  <c r="BR20" i="1"/>
  <c r="BR23" i="1"/>
  <c r="BC21" i="1"/>
  <c r="BC22" i="1"/>
  <c r="Y135" i="1"/>
  <c r="AA134" i="1"/>
  <c r="BT20" i="1" l="1"/>
  <c r="BT23" i="1"/>
  <c r="AU74" i="1"/>
  <c r="AU80" i="1" s="1"/>
  <c r="AV80" i="1" s="1"/>
  <c r="AT81" i="1"/>
  <c r="AV74" i="1"/>
  <c r="AW74" i="1" s="1"/>
  <c r="AW75" i="1" s="1"/>
  <c r="AW76" i="1" s="1"/>
  <c r="AW77" i="1" s="1"/>
  <c r="AW78" i="1" s="1"/>
  <c r="AW79" i="1" s="1"/>
  <c r="AU81" i="1" l="1"/>
  <c r="AV81" i="1" s="1"/>
  <c r="AU82" i="1" l="1"/>
  <c r="V126" i="1" s="1"/>
  <c r="AU84" i="1"/>
  <c r="AZ24" i="1" s="1"/>
  <c r="W126" i="1"/>
  <c r="W127" i="1"/>
  <c r="BA24" i="1" l="1"/>
  <c r="BB24" i="1"/>
  <c r="BG24" i="1"/>
  <c r="BA25" i="1"/>
  <c r="AA136" i="1"/>
  <c r="Y137" i="1"/>
  <c r="AA135" i="1"/>
  <c r="Y136" i="1"/>
  <c r="BC24" i="1" l="1"/>
  <c r="BC25" i="1"/>
  <c r="BM24" i="1"/>
  <c r="BN32" i="1" s="1"/>
  <c r="BO32" i="1" s="1"/>
  <c r="BO36" i="1" s="1"/>
  <c r="BO37" i="1" s="1"/>
  <c r="BH24" i="1"/>
  <c r="BL24" i="1" s="1"/>
  <c r="BH26" i="1"/>
  <c r="BL26" i="1" s="1"/>
  <c r="AZ35" i="1" l="1"/>
  <c r="BA33" i="1"/>
  <c r="BA37" i="1"/>
  <c r="AZ33" i="1"/>
  <c r="AZ34" i="1"/>
  <c r="BA31" i="1"/>
  <c r="BA32" i="1"/>
  <c r="AZ32" i="1"/>
  <c r="AZ36" i="1"/>
  <c r="BA35" i="1"/>
  <c r="AZ37" i="1"/>
  <c r="BA34" i="1"/>
  <c r="BA36" i="1"/>
  <c r="BF31" i="1"/>
  <c r="BI31" i="1" s="1"/>
  <c r="BC34" i="1"/>
  <c r="BF34" i="1" s="1"/>
  <c r="BI34" i="1" s="1"/>
  <c r="BC36" i="1"/>
  <c r="BF36" i="1" s="1"/>
  <c r="BI36" i="1" s="1"/>
  <c r="BC32" i="1"/>
  <c r="BF32" i="1" s="1"/>
  <c r="BI32" i="1" s="1"/>
  <c r="BC33" i="1"/>
  <c r="BF33" i="1" s="1"/>
  <c r="BI33" i="1" s="1"/>
  <c r="BH31" i="1" l="1"/>
  <c r="BH40" i="1"/>
  <c r="BH38" i="1"/>
  <c r="BH39" i="1"/>
  <c r="BH41" i="1"/>
  <c r="BH42" i="1"/>
  <c r="BH43" i="1"/>
  <c r="BH44" i="1"/>
  <c r="BH45" i="1"/>
  <c r="BH46" i="1"/>
  <c r="BH47" i="1"/>
  <c r="BH48" i="1"/>
  <c r="BH49" i="1"/>
  <c r="BH50" i="1"/>
  <c r="BH37" i="1"/>
  <c r="BH36" i="1"/>
  <c r="BH32" i="1"/>
  <c r="BH35" i="1"/>
  <c r="BH34" i="1"/>
  <c r="BH33" i="1"/>
  <c r="BG31" i="1"/>
  <c r="BG36" i="1"/>
  <c r="BG34" i="1"/>
  <c r="BG33" i="1"/>
  <c r="BG32" i="1"/>
  <c r="BC37" i="1"/>
  <c r="BF37" i="1" s="1"/>
  <c r="BC35" i="1"/>
  <c r="BF35" i="1" s="1"/>
  <c r="BG35" i="1" l="1"/>
  <c r="BI35" i="1"/>
  <c r="BG37" i="1"/>
  <c r="BI37" i="1"/>
</calcChain>
</file>

<file path=xl/sharedStrings.xml><?xml version="1.0" encoding="utf-8"?>
<sst xmlns="http://schemas.openxmlformats.org/spreadsheetml/2006/main" count="1210" uniqueCount="363">
  <si>
    <t>FF</t>
  </si>
  <si>
    <t>Period</t>
  </si>
  <si>
    <t>0-20</t>
  </si>
  <si>
    <t>0</t>
  </si>
  <si>
    <t>Age-yrs</t>
  </si>
  <si>
    <t>Area-feet^2</t>
  </si>
  <si>
    <t>Volume -feet^3</t>
  </si>
  <si>
    <t>Circumference -feet</t>
  </si>
  <si>
    <t>Total height-feet</t>
  </si>
  <si>
    <t>Annual volume increase within period-feet^3</t>
  </si>
  <si>
    <t>Annual radial growth within the period -inches</t>
  </si>
  <si>
    <t>21-40</t>
  </si>
  <si>
    <t>81-100</t>
  </si>
  <si>
    <t>101-120</t>
  </si>
  <si>
    <t>121-140</t>
  </si>
  <si>
    <t>141-160</t>
  </si>
  <si>
    <t>161-180</t>
  </si>
  <si>
    <t>181-200</t>
  </si>
  <si>
    <t>Enter data in green cells</t>
  </si>
  <si>
    <t>DBH -outside bark (inch)</t>
  </si>
  <si>
    <t>Height  (feet)</t>
  </si>
  <si>
    <r>
      <t>VOLCFGRS - inside bark            (feet</t>
    </r>
    <r>
      <rPr>
        <b/>
        <vertAlign val="superscript"/>
        <sz val="10"/>
        <rFont val="Arial"/>
        <family val="2"/>
      </rPr>
      <t>3</t>
    </r>
    <r>
      <rPr>
        <b/>
        <sz val="10"/>
        <rFont val="Arial"/>
        <family val="2"/>
      </rPr>
      <t>)</t>
    </r>
  </si>
  <si>
    <t>CULL                   (%)</t>
  </si>
  <si>
    <r>
      <t>VOLCFSND            (feet</t>
    </r>
    <r>
      <rPr>
        <b/>
        <vertAlign val="superscript"/>
        <sz val="10"/>
        <rFont val="Arial"/>
        <family val="2"/>
      </rPr>
      <t>3</t>
    </r>
    <r>
      <rPr>
        <b/>
        <sz val="10"/>
        <rFont val="Arial"/>
        <family val="2"/>
      </rPr>
      <t>)</t>
    </r>
  </si>
  <si>
    <t>DRYBIO_BOLE           (lbs)</t>
  </si>
  <si>
    <t>DRYBIO_TOP               (lbs)</t>
  </si>
  <si>
    <t>DRYBIO_STUMP                              (lbs)</t>
  </si>
  <si>
    <t>DRYBIOT               (lbs)</t>
  </si>
  <si>
    <t>eastern white pine</t>
  </si>
  <si>
    <t>Pinus</t>
  </si>
  <si>
    <t>strobus</t>
  </si>
  <si>
    <t>Bark Vol</t>
  </si>
  <si>
    <t>DRYBIOT               (lbs) less foliage</t>
  </si>
  <si>
    <t>Bole Vol (incl bark)</t>
  </si>
  <si>
    <t>Foliage biomass</t>
  </si>
  <si>
    <t>Stump Vol -OB</t>
  </si>
  <si>
    <t>Tot FIA Trunk Vol -ft^3</t>
  </si>
  <si>
    <t>DBH-ft</t>
  </si>
  <si>
    <t>Area-ft^2</t>
  </si>
  <si>
    <t>Hgt</t>
  </si>
  <si>
    <t>VOL-ft^3</t>
  </si>
  <si>
    <t>NTS  Trunk Vol</t>
  </si>
  <si>
    <t>NTS Trunk &amp; Top Vol</t>
  </si>
  <si>
    <t>Wood Specific Gravity</t>
  </si>
  <si>
    <t>Wood density-lbs/ft^3</t>
  </si>
  <si>
    <t>Bark Specific Gravity</t>
  </si>
  <si>
    <t>Bark density-lbs/ft^3</t>
  </si>
  <si>
    <t>FIA Components</t>
  </si>
  <si>
    <t>Stem Vol</t>
  </si>
  <si>
    <t>Stem Density</t>
  </si>
  <si>
    <t>Stem Mass</t>
  </si>
  <si>
    <t>Bark Density</t>
  </si>
  <si>
    <t>Bark Mass</t>
  </si>
  <si>
    <t>Bole Mass</t>
  </si>
  <si>
    <t>Stump Vol</t>
  </si>
  <si>
    <t>Stump Density</t>
  </si>
  <si>
    <t>Stump Mass</t>
  </si>
  <si>
    <t>Bole &amp; Stump Mass</t>
  </si>
  <si>
    <t>Foliage  Mass</t>
  </si>
  <si>
    <t>Top biomass</t>
  </si>
  <si>
    <t>Tot  Biomass</t>
  </si>
  <si>
    <t>Top/Tot</t>
  </si>
  <si>
    <t>Top/(bole+stump)</t>
  </si>
  <si>
    <t>Tot Vol Bole &amp; Stump</t>
  </si>
  <si>
    <t>Estimated Stump Vol NTS</t>
  </si>
  <si>
    <t>Cir at base</t>
  </si>
  <si>
    <t>Radius at base</t>
  </si>
  <si>
    <t>D1</t>
  </si>
  <si>
    <t>R1</t>
  </si>
  <si>
    <t>Vol</t>
  </si>
  <si>
    <t>0.005454153*(BioMass!G2^2)*(1+(5.62462*Coeff_1!BJ2)+(8.50038*(Coeff_1!BJ2^2)))</t>
  </si>
  <si>
    <t xml:space="preserve">   </t>
  </si>
  <si>
    <t>SPCD</t>
  </si>
  <si>
    <t>COMMON_NAME</t>
  </si>
  <si>
    <t>GENUS</t>
  </si>
  <si>
    <t>SPECIES</t>
  </si>
  <si>
    <t>VARIETY</t>
  </si>
  <si>
    <t>SUBSPECIES</t>
  </si>
  <si>
    <t>SPECIES_SYMBOL</t>
  </si>
  <si>
    <t>E_SPGRPCD</t>
  </si>
  <si>
    <t>W_SPGRPCD</t>
  </si>
  <si>
    <t>MAJOR_SPGRPCD</t>
  </si>
  <si>
    <t>STOCKING_SPGRPCD</t>
  </si>
  <si>
    <t>FOREST_TYPE_SPGRPCD</t>
  </si>
  <si>
    <t>EXISTS_IN_NCRS</t>
  </si>
  <si>
    <t>EXISTS_IN_NERS</t>
  </si>
  <si>
    <t>EXISTS_IN_PNWRS</t>
  </si>
  <si>
    <t>EXISTS_IN_RMRS</t>
  </si>
  <si>
    <t>EXISTS_IN_SRS</t>
  </si>
  <si>
    <t>SITETREE</t>
  </si>
  <si>
    <t>SFTWD_HRDWD</t>
  </si>
  <si>
    <t>ST_EXISTS_IN_NCRS</t>
  </si>
  <si>
    <t>ST_EXISTS_IN_NERS</t>
  </si>
  <si>
    <t>ST_EXISTS_IN_PNWRS</t>
  </si>
  <si>
    <t>ST_EXISTS_IN_RMRS</t>
  </si>
  <si>
    <t>ST_EXISTS_IN_SRS</t>
  </si>
  <si>
    <t>EAST</t>
  </si>
  <si>
    <t>WEST</t>
  </si>
  <si>
    <t>WOODLAND</t>
  </si>
  <si>
    <t>MANUAL_START</t>
  </si>
  <si>
    <t>MANUAL_END</t>
  </si>
  <si>
    <t>CREATED_BY</t>
  </si>
  <si>
    <t>CREATED_DATE</t>
  </si>
  <si>
    <t>CREATED_IN_INSTANCE</t>
  </si>
  <si>
    <t>MODIFIED_BY</t>
  </si>
  <si>
    <t>MODIFIED_DATE</t>
  </si>
  <si>
    <t>MODIFIED_IN_INSTANCE</t>
  </si>
  <si>
    <t>CORE</t>
  </si>
  <si>
    <t>JENKINS_SPGRPCD</t>
  </si>
  <si>
    <t>JENKINS_TOTAL_B1</t>
  </si>
  <si>
    <t>JENKINS_TOTAL_B2</t>
  </si>
  <si>
    <t>JENKINS_STEM_WOOD_RATIO_B1</t>
  </si>
  <si>
    <t>JENKINS_STEM_WOOD_RATIO_B2</t>
  </si>
  <si>
    <t>JENKINS_STEM_BARK_RATIO_B1</t>
  </si>
  <si>
    <t>JENKINS_STEM_BARK_RATIO_B2</t>
  </si>
  <si>
    <t>JENKINS_FOLIAGE_RATIO_B1</t>
  </si>
  <si>
    <t>JENKINS_FOLIAGE_RATIO_B2</t>
  </si>
  <si>
    <t>JENKINS_ROOT_RATIO_B1</t>
  </si>
  <si>
    <t>JENKINS_ROOT_RATIO_B2</t>
  </si>
  <si>
    <t>JENKINS_SAPLING_ADJUSTMENT</t>
  </si>
  <si>
    <t>WOOD_SPGR_GREENVOL_DRYWT</t>
  </si>
  <si>
    <t>WOOD_SPGR_GREENVOL_DRYWT_CIT</t>
  </si>
  <si>
    <t>BARK_SPGR_GREENVOL_DRYWT</t>
  </si>
  <si>
    <t>BARK_SPGR_GREENVOL_DRYWT_CIT</t>
  </si>
  <si>
    <t>MC_PCT_GREEN_WOOD</t>
  </si>
  <si>
    <t>MC_PCT_GREEN_WOOD_CIT</t>
  </si>
  <si>
    <t>MC_PCT_GREEN_BARK</t>
  </si>
  <si>
    <t>MC_PCT_GREEN_BARK_CIT</t>
  </si>
  <si>
    <t>WOOD_SPGR_MC12VOL_DRYWT</t>
  </si>
  <si>
    <t>WOOD_SPGR_MC12VOL_DRYWT_CIT</t>
  </si>
  <si>
    <t>BARK_VOL_PCT</t>
  </si>
  <si>
    <t>BARK_VOL_PCT_CIT</t>
  </si>
  <si>
    <t>RAILE_STUMP_DOB_B1</t>
  </si>
  <si>
    <t>RAILE_STUMP_DIB_B1</t>
  </si>
  <si>
    <t>RAILE_STUMP_DIB_B2</t>
  </si>
  <si>
    <t>C</t>
  </si>
  <si>
    <t>PIST</t>
  </si>
  <si>
    <t>X</t>
  </si>
  <si>
    <t>S</t>
  </si>
  <si>
    <t>E</t>
  </si>
  <si>
    <t>NIMS_2_1</t>
  </si>
  <si>
    <t>333</t>
  </si>
  <si>
    <t>NIMS_3_0</t>
  </si>
  <si>
    <t>-2.5356</t>
  </si>
  <si>
    <t>2.4349</t>
  </si>
  <si>
    <t>b (slope)</t>
  </si>
  <si>
    <t>stem_ratio</t>
  </si>
  <si>
    <t>bark_ratio</t>
  </si>
  <si>
    <t>foliage_ratio</t>
  </si>
  <si>
    <t>root_ratio</t>
  </si>
  <si>
    <t>Total_AG_biomass_Jenkins</t>
  </si>
  <si>
    <t>Stem_biomass_Jenkins</t>
  </si>
  <si>
    <t>Bark_biomass_Jenkins</t>
  </si>
  <si>
    <t>Bole_biomass_Jenkins</t>
  </si>
  <si>
    <t>Foliage_biomass_Jenkins</t>
  </si>
  <si>
    <t>Root_biomass_Jenkins</t>
  </si>
  <si>
    <t>Stump_vol_DIB</t>
  </si>
  <si>
    <t>Stump_vol_DOB</t>
  </si>
  <si>
    <t>Stump_Bark_biomass</t>
  </si>
  <si>
    <t>Stump_Wood_biomass</t>
  </si>
  <si>
    <t>Stump_Biomass</t>
  </si>
  <si>
    <t>Top_biomass_Jenkins</t>
  </si>
  <si>
    <t>AdjFac</t>
  </si>
  <si>
    <t>Diameter -inches</t>
  </si>
  <si>
    <t>41-60</t>
  </si>
  <si>
    <t>61-80</t>
  </si>
  <si>
    <t>Trunk Form Factor</t>
  </si>
  <si>
    <t>Cumulative volume percentage increase</t>
  </si>
  <si>
    <t xml:space="preserve">Cumulative age percentage </t>
  </si>
  <si>
    <t xml:space="preserve">Cumulative volume percentage </t>
  </si>
  <si>
    <t>FIA Volume -feet^3</t>
  </si>
  <si>
    <t>Pct Diff FIA/NTS</t>
  </si>
  <si>
    <t>Annual radial growth YTD  -inches</t>
  </si>
  <si>
    <t>Radius at age-inches</t>
  </si>
  <si>
    <t>Radius -feet</t>
  </si>
  <si>
    <t>Annual height growth -feet</t>
  </si>
  <si>
    <t>Period volume increase-feet^3</t>
  </si>
  <si>
    <t xml:space="preserve">Percentage volume increase during period of total </t>
  </si>
  <si>
    <t>Average ring width over 200 yrs -inches</t>
  </si>
  <si>
    <t xml:space="preserve">years/inch during period </t>
  </si>
  <si>
    <t>Avg crown area</t>
  </si>
  <si>
    <t>Avg crown radius</t>
  </si>
  <si>
    <t xml:space="preserve">Theoretical stems/acre </t>
  </si>
  <si>
    <t xml:space="preserve">Size class </t>
  </si>
  <si>
    <t>Theoretical max # stems</t>
  </si>
  <si>
    <t>Age Class</t>
  </si>
  <si>
    <t>Cumulative live above ground carbon -tons</t>
  </si>
  <si>
    <t>0-60</t>
  </si>
  <si>
    <t>61-120</t>
  </si>
  <si>
    <t>121-180</t>
  </si>
  <si>
    <t>Tree#</t>
  </si>
  <si>
    <t>Volume</t>
  </si>
  <si>
    <t>Period Volume</t>
  </si>
  <si>
    <t>0-40</t>
  </si>
  <si>
    <t>41-80</t>
  </si>
  <si>
    <t>81-120</t>
  </si>
  <si>
    <t>121-160</t>
  </si>
  <si>
    <t>161-200</t>
  </si>
  <si>
    <t>Stand construction tables</t>
  </si>
  <si>
    <t>Stand Density</t>
  </si>
  <si>
    <t>Individaul Tree Growth - thru period and within</t>
  </si>
  <si>
    <t>Tree #1</t>
  </si>
  <si>
    <t>Hgt at 50 yrs</t>
  </si>
  <si>
    <t>Tree #2</t>
  </si>
  <si>
    <t>Tree #3</t>
  </si>
  <si>
    <t>Tree #4</t>
  </si>
  <si>
    <t>Tree #5</t>
  </si>
  <si>
    <t>AVG</t>
  </si>
  <si>
    <t>Stand Development from 0 to 20 years</t>
  </si>
  <si>
    <t>Stand Development from 21 to 40 years</t>
  </si>
  <si>
    <t>Stand Development from 41 to 60 years</t>
  </si>
  <si>
    <t>Stand Development from 61 to 80 years</t>
  </si>
  <si>
    <t>Stand Development from 81 to 100 years</t>
  </si>
  <si>
    <t>Stand Development from 101 to 120 years</t>
  </si>
  <si>
    <t>Stand Development from 121 to 140 years</t>
  </si>
  <si>
    <t>Stand Development from 141 to 160 years</t>
  </si>
  <si>
    <t>Stand Development from 161 to 180 years</t>
  </si>
  <si>
    <t>Stand Development from 181 to 200 years</t>
  </si>
  <si>
    <t>Tree #</t>
  </si>
  <si>
    <t>Tot 1-5</t>
  </si>
  <si>
    <t>Class #1 Size Tree Development</t>
  </si>
  <si>
    <t>Class #2 Size Tree Development</t>
  </si>
  <si>
    <t>Class #3 Size Tree Development</t>
  </si>
  <si>
    <t>Class #4 Size Tree Development</t>
  </si>
  <si>
    <t>Class #5 Size Tree Development</t>
  </si>
  <si>
    <t>Stand Level Carbon</t>
  </si>
  <si>
    <t>Site Index Calculation</t>
  </si>
  <si>
    <t>Class #1</t>
  </si>
  <si>
    <t>Class #2</t>
  </si>
  <si>
    <t>Class #3</t>
  </si>
  <si>
    <t>Class #4</t>
  </si>
  <si>
    <t>Class#5</t>
  </si>
  <si>
    <t>Growth Period -yrs</t>
  </si>
  <si>
    <t>When fastest growth occurs for the 5 size classes</t>
  </si>
  <si>
    <t>&gt;=1</t>
  </si>
  <si>
    <t>Length Growth Period -yrs</t>
  </si>
  <si>
    <t>Stand level Carbon</t>
  </si>
  <si>
    <t>20-yr period</t>
  </si>
  <si>
    <t>40-yr period</t>
  </si>
  <si>
    <t>carbon in 20-yr periods -tons</t>
  </si>
  <si>
    <t>60-yr period</t>
  </si>
  <si>
    <t>Carbon</t>
  </si>
  <si>
    <t>#1</t>
  </si>
  <si>
    <t>Tree class</t>
  </si>
  <si>
    <t>#2</t>
  </si>
  <si>
    <t>#3</t>
  </si>
  <si>
    <t>#4</t>
  </si>
  <si>
    <t>#5</t>
  </si>
  <si>
    <t>Class #6 Size Tree Development</t>
  </si>
  <si>
    <t xml:space="preserve">&lt;== Trial tons </t>
  </si>
  <si>
    <t>#6</t>
  </si>
  <si>
    <t xml:space="preserve">Tree#1 </t>
  </si>
  <si>
    <t xml:space="preserve">Tree #2 </t>
  </si>
  <si>
    <t xml:space="preserve">Tree #3 </t>
  </si>
  <si>
    <t xml:space="preserve">Tree #4 </t>
  </si>
  <si>
    <t xml:space="preserve">Tree #5 </t>
  </si>
  <si>
    <t xml:space="preserve">Tree #6 </t>
  </si>
  <si>
    <t>Cumulative stand carbon</t>
  </si>
  <si>
    <t>Tot positive</t>
  </si>
  <si>
    <t>Proportion of total</t>
  </si>
  <si>
    <t>Other Carbon</t>
  </si>
  <si>
    <t>Tot Live carbon</t>
  </si>
  <si>
    <t>Carbon-tons</t>
  </si>
  <si>
    <t>Other Carbon-tons</t>
  </si>
  <si>
    <t>Tot Live carbon-tons</t>
  </si>
  <si>
    <t>Vol/stem-ft^3</t>
  </si>
  <si>
    <t>Theoretical stand Vol-ft^3</t>
  </si>
  <si>
    <t>crown radius-ft</t>
  </si>
  <si>
    <t>crown area/stem-ft^2</t>
  </si>
  <si>
    <t>Theoretical crown area-ft^2</t>
  </si>
  <si>
    <t xml:space="preserve"> # stems</t>
  </si>
  <si>
    <t xml:space="preserve"> Stand Vol-ft^3</t>
  </si>
  <si>
    <t xml:space="preserve"> Stand Crown Area-ft^2</t>
  </si>
  <si>
    <t>Cum  Stand Crown Area-ft^2</t>
  </si>
  <si>
    <t>Avg 50 yrs</t>
  </si>
  <si>
    <t>Avg at 150 yrs</t>
  </si>
  <si>
    <t>Avg at 50 years</t>
  </si>
  <si>
    <t xml:space="preserve">Construction of individual and stand growth patterns using six white pine size classes: 0 to 200 years. See explanation below the six tables			</t>
  </si>
  <si>
    <t>Year</t>
  </si>
  <si>
    <t>Class #5</t>
  </si>
  <si>
    <t>Class #6</t>
  </si>
  <si>
    <t>Annual Cubic-foot Volume Increase at the Indicated Years</t>
  </si>
  <si>
    <t>Maximum Height</t>
  </si>
  <si>
    <t>Maximum Girth</t>
  </si>
  <si>
    <t>annual carbon increase in metric tons</t>
  </si>
  <si>
    <t>carbon change in 40-yr periods -tons</t>
  </si>
  <si>
    <t>carbon change in 60-yr periods -tons</t>
  </si>
  <si>
    <t>In Period</t>
  </si>
  <si>
    <t>50 yrs</t>
  </si>
  <si>
    <t>100 yrs</t>
  </si>
  <si>
    <t>150 yrs</t>
  </si>
  <si>
    <t>200 yrs</t>
  </si>
  <si>
    <t>End of period</t>
  </si>
  <si>
    <t>Height</t>
  </si>
  <si>
    <t>Class</t>
  </si>
  <si>
    <t>At 140 years</t>
  </si>
  <si>
    <t>Crircumference</t>
  </si>
  <si>
    <t>Density-stems</t>
  </si>
  <si>
    <t>Wt cir</t>
  </si>
  <si>
    <t>Wt ht</t>
  </si>
  <si>
    <t>Wt FF</t>
  </si>
  <si>
    <t>Wt Vol</t>
  </si>
  <si>
    <t>Avgs</t>
  </si>
  <si>
    <t>Wood Density-lbs/ft^3</t>
  </si>
  <si>
    <t>Percent Carbon</t>
  </si>
  <si>
    <t>Form Factor</t>
  </si>
  <si>
    <t>Metric</t>
  </si>
  <si>
    <t>Imperial</t>
  </si>
  <si>
    <t>Summary of Cumulative Volume Growth by Period</t>
  </si>
  <si>
    <t>Summary of Period Volume Growth by Period</t>
  </si>
  <si>
    <t>In Period-Imperial</t>
  </si>
  <si>
    <t>In Period-Metric</t>
  </si>
  <si>
    <t>40 year intervals ------------------------------&gt;</t>
  </si>
  <si>
    <t>20 year intervals --------------------------------------&gt;</t>
  </si>
  <si>
    <t>Cumulative stand carbon - all species</t>
  </si>
  <si>
    <t>50 year intervals ------------------------------&gt;</t>
  </si>
  <si>
    <t>Carbon  --------------------&gt;</t>
  </si>
  <si>
    <t>Carbon  ----------------------&gt;</t>
  </si>
  <si>
    <t>Diff</t>
  </si>
  <si>
    <t>Cumulative stand tC at 80 years  - rotation</t>
  </si>
  <si>
    <t>Pct of rotation amt</t>
  </si>
  <si>
    <t>tC Loss from 1st 80 years rotation</t>
  </si>
  <si>
    <t>Carbon Loss Rate for 80-yr rotation over next 40 years</t>
  </si>
  <si>
    <t xml:space="preserve">Cumulative stand tC next 40 years </t>
  </si>
  <si>
    <t>&lt; --- available tC from rotation scenario at 120 years</t>
  </si>
  <si>
    <t>&lt; --- surplus tC of natural stand development over rotation at 120 years</t>
  </si>
  <si>
    <t>Carbon  - 40 year intervals</t>
  </si>
  <si>
    <r>
      <t>In Period-</t>
    </r>
    <r>
      <rPr>
        <b/>
        <sz val="16"/>
        <color theme="1"/>
        <rFont val="Stand tC"/>
      </rPr>
      <t>tC</t>
    </r>
  </si>
  <si>
    <t>Cumulative stand-tC</t>
  </si>
  <si>
    <t>Cumulative stand tC at 120 years - natural growth</t>
  </si>
  <si>
    <t>tC</t>
  </si>
  <si>
    <t>Cum. Volume</t>
  </si>
  <si>
    <t xml:space="preserve">Individual Tree Growth:   40-year periods </t>
  </si>
  <si>
    <t>Period Volume - m^3</t>
  </si>
  <si>
    <t>Cum. Volume - m^3</t>
  </si>
  <si>
    <t>A60</t>
  </si>
  <si>
    <t>A120</t>
  </si>
  <si>
    <t>A80</t>
  </si>
  <si>
    <t>A140</t>
  </si>
  <si>
    <t>x</t>
  </si>
  <si>
    <t>Average</t>
  </si>
  <si>
    <t>Average Period change</t>
  </si>
  <si>
    <t>Tree #6 period change</t>
  </si>
  <si>
    <t>Tree #1 period change</t>
  </si>
  <si>
    <t>R</t>
  </si>
  <si>
    <r>
      <t>A</t>
    </r>
    <r>
      <rPr>
        <b/>
        <sz val="11"/>
        <color theme="1"/>
        <rFont val="Calibri (Body)_x0000_"/>
      </rPr>
      <t>r</t>
    </r>
  </si>
  <si>
    <t>r</t>
  </si>
  <si>
    <t>A</t>
  </si>
  <si>
    <t>N</t>
  </si>
  <si>
    <t>Y</t>
  </si>
  <si>
    <t>A/S</t>
  </si>
  <si>
    <t>Tree #2 period change</t>
  </si>
  <si>
    <t>Tree #3 period change</t>
  </si>
  <si>
    <t>Tree #4 period change</t>
  </si>
  <si>
    <t>Tree #5 period change</t>
  </si>
  <si>
    <t>U</t>
  </si>
  <si>
    <t>V</t>
  </si>
  <si>
    <t>Table below compares carbon in unharvested stand to multiple rotations</t>
  </si>
  <si>
    <t>Annual Volume Growth Across Classes and periods</t>
  </si>
  <si>
    <t>feet^3</t>
  </si>
  <si>
    <t>Period- years</t>
  </si>
  <si>
    <t>Largest Tree Class #6</t>
  </si>
  <si>
    <t>Volume gained during period  - cubic feet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</si>
</sst>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0"/>
    <numFmt numFmtId="165" formatCode="0.000"/>
    <numFmt numFmtId="166" formatCode="0.0"/>
    <numFmt numFmtId="167" formatCode="#,##0.00000"/>
    <numFmt numFmtId="168" formatCode="#,##0.0000"/>
    <numFmt numFmtId="169" formatCode="0.000000000000"/>
    <numFmt numFmtId="170" formatCode="m/d/yyyy\ h:mm:ss\ AM/PM"/>
    <numFmt numFmtId="171" formatCode="0.00000"/>
    <numFmt numFmtId="172" formatCode="0.0000000"/>
    <numFmt numFmtId="173" formatCode="0.000000"/>
    <numFmt numFmtId="174" formatCode="0.0000000000"/>
  </numFmts>
  <fonts count="39">
    <font>
      <sz val="12"/>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sz val="12"/>
      <color rgb="FFFF0000"/>
      <name val="Calibri"/>
      <family val="2"/>
      <scheme val="minor"/>
    </font>
    <font>
      <sz val="12"/>
      <color theme="0"/>
      <name val="Calibri"/>
      <family val="2"/>
      <scheme val="minor"/>
    </font>
    <font>
      <b/>
      <sz val="16"/>
      <color rgb="FFFF0000"/>
      <name val="Calibri"/>
      <family val="2"/>
      <scheme val="minor"/>
    </font>
    <font>
      <b/>
      <sz val="18"/>
      <color theme="1"/>
      <name val="Calibri"/>
      <family val="2"/>
      <scheme val="minor"/>
    </font>
    <font>
      <sz val="10"/>
      <name val="Arial"/>
      <family val="2"/>
    </font>
    <font>
      <b/>
      <sz val="10"/>
      <name val="Arial"/>
      <family val="2"/>
    </font>
    <font>
      <b/>
      <vertAlign val="superscript"/>
      <sz val="10"/>
      <name val="Arial"/>
      <family val="2"/>
    </font>
    <font>
      <sz val="10"/>
      <color indexed="8"/>
      <name val="Arial"/>
      <family val="2"/>
    </font>
    <font>
      <sz val="16"/>
      <color theme="1"/>
      <name val="Microsoft Sans Serif"/>
      <family val="2"/>
    </font>
    <font>
      <sz val="16"/>
      <color theme="1"/>
      <name val="Arial"/>
      <family val="2"/>
    </font>
    <font>
      <sz val="16"/>
      <color rgb="FFFF0000"/>
      <name val="Arial"/>
      <family val="2"/>
    </font>
    <font>
      <sz val="16"/>
      <color rgb="FFFF0000"/>
      <name val="Microsoft Sans Serif"/>
      <family val="2"/>
    </font>
    <font>
      <b/>
      <sz val="14"/>
      <color theme="1"/>
      <name val="Calibri"/>
      <family val="2"/>
      <scheme val="minor"/>
    </font>
    <font>
      <sz val="14"/>
      <color theme="1"/>
      <name val="Calibri"/>
      <family val="2"/>
      <scheme val="minor"/>
    </font>
    <font>
      <b/>
      <sz val="10"/>
      <color indexed="8"/>
      <name val="Microsoft Sans Serif"/>
      <family val="2"/>
    </font>
    <font>
      <sz val="10"/>
      <color rgb="FFFF0000"/>
      <name val="Microsoft Sans Serif"/>
      <family val="2"/>
    </font>
    <font>
      <sz val="10"/>
      <color rgb="FFFF0000"/>
      <name val="Arial"/>
      <family val="2"/>
    </font>
    <font>
      <sz val="16"/>
      <color rgb="FFFF0000"/>
      <name val="Calibri"/>
      <family val="2"/>
      <scheme val="minor"/>
    </font>
    <font>
      <b/>
      <sz val="16"/>
      <color rgb="FF7030A0"/>
      <name val="Calibri"/>
      <family val="2"/>
      <scheme val="minor"/>
    </font>
    <font>
      <sz val="16"/>
      <color rgb="FF7030A0"/>
      <name val="Calibri"/>
      <family val="2"/>
      <scheme val="minor"/>
    </font>
    <font>
      <b/>
      <sz val="20"/>
      <color rgb="FF00B050"/>
      <name val="Calibri"/>
      <family val="2"/>
      <scheme val="minor"/>
    </font>
    <font>
      <b/>
      <sz val="20"/>
      <color theme="7" tint="-0.249977111117893"/>
      <name val="Calibri"/>
      <family val="2"/>
      <scheme val="minor"/>
    </font>
    <font>
      <sz val="16"/>
      <color theme="0"/>
      <name val="Calibri"/>
      <family val="2"/>
      <scheme val="minor"/>
    </font>
    <font>
      <sz val="18"/>
      <color rgb="FFC00000"/>
      <name val="Calibri"/>
      <family val="2"/>
      <scheme val="minor"/>
    </font>
    <font>
      <sz val="18"/>
      <color theme="1"/>
      <name val="Calibri"/>
      <family val="2"/>
      <scheme val="minor"/>
    </font>
    <font>
      <sz val="16"/>
      <color rgb="FFFF0000"/>
      <name val="Calibri (Body)_x0000_"/>
    </font>
    <font>
      <b/>
      <sz val="22"/>
      <color rgb="FF00B050"/>
      <name val="Calibri"/>
      <family val="2"/>
      <scheme val="minor"/>
    </font>
    <font>
      <b/>
      <sz val="22"/>
      <color theme="1"/>
      <name val="Calibri"/>
      <family val="2"/>
      <scheme val="minor"/>
    </font>
    <font>
      <b/>
      <sz val="20"/>
      <color theme="1"/>
      <name val="Calibri"/>
      <family val="2"/>
      <scheme val="minor"/>
    </font>
    <font>
      <sz val="18"/>
      <color rgb="FFFF0000"/>
      <name val="Calibri"/>
      <family val="2"/>
      <scheme val="minor"/>
    </font>
    <font>
      <b/>
      <sz val="20"/>
      <color rgb="FFFF0000"/>
      <name val="Calibri"/>
      <family val="2"/>
      <scheme val="minor"/>
    </font>
    <font>
      <sz val="12"/>
      <color theme="5" tint="0.79998168889431442"/>
      <name val="Calibri"/>
      <family val="2"/>
      <scheme val="minor"/>
    </font>
    <font>
      <sz val="16"/>
      <color rgb="FF000000"/>
      <name val="Calibri"/>
      <family val="2"/>
      <scheme val="minor"/>
    </font>
    <font>
      <b/>
      <sz val="16"/>
      <color theme="1"/>
      <name val="Stand tC"/>
    </font>
    <font>
      <b/>
      <sz val="11"/>
      <color theme="1"/>
      <name val="Calibri (Body)_x0000_"/>
    </font>
  </fonts>
  <fills count="17">
    <fill>
      <patternFill patternType="none"/>
    </fill>
    <fill>
      <patternFill patternType="gray125"/>
    </fill>
    <fill>
      <patternFill patternType="solid">
        <fgColor theme="5" tint="0.79998168889431442"/>
        <bgColor indexed="22"/>
      </patternFill>
    </fill>
    <fill>
      <patternFill patternType="solid">
        <fgColor theme="5" tint="0.79998168889431442"/>
        <bgColor indexed="35"/>
      </patternFill>
    </fill>
    <fill>
      <patternFill patternType="solid">
        <fgColor theme="5" tint="0.79998168889431442"/>
        <bgColor indexed="31"/>
      </patternFill>
    </fill>
    <fill>
      <patternFill patternType="solid">
        <fgColor rgb="FF92D050"/>
        <bgColor indexed="31"/>
      </patternFill>
    </fill>
    <fill>
      <patternFill patternType="solid">
        <fgColor indexed="22"/>
        <bgColor indexed="31"/>
      </patternFill>
    </fill>
    <fill>
      <patternFill patternType="solid">
        <fgColor indexed="15"/>
        <bgColor indexed="35"/>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79998168889431442"/>
        <bgColor indexed="64"/>
      </patternFill>
    </fill>
    <fill>
      <patternFill patternType="solid">
        <fgColor rgb="FF92D050"/>
        <bgColor indexed="64"/>
      </patternFill>
    </fill>
    <fill>
      <patternFill patternType="solid">
        <fgColor rgb="FFBFBFBF"/>
        <bgColor rgb="FFCCCCFF"/>
      </patternFill>
    </fill>
    <fill>
      <patternFill patternType="solid">
        <fgColor theme="9" tint="0.79998168889431442"/>
        <bgColor indexed="64"/>
      </patternFill>
    </fill>
    <fill>
      <patternFill patternType="solid">
        <fgColor rgb="FFFCE4D6"/>
        <bgColor rgb="FF000000"/>
      </patternFill>
    </fill>
    <fill>
      <patternFill patternType="solid">
        <fgColor theme="5" tint="0.39997558519241921"/>
        <bgColor indexed="64"/>
      </patternFill>
    </fill>
    <fill>
      <patternFill patternType="solid">
        <fgColor theme="5"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s>
  <cellStyleXfs count="3">
    <xf numFmtId="0" fontId="0" fillId="0" borderId="0"/>
    <xf numFmtId="0" fontId="8" fillId="0" borderId="0"/>
    <xf numFmtId="0" fontId="11" fillId="0" borderId="0"/>
  </cellStyleXfs>
  <cellXfs count="474">
    <xf numFmtId="0" fontId="0" fillId="0" borderId="0" xfId="0"/>
    <xf numFmtId="0" fontId="1" fillId="0" borderId="0" xfId="0" applyFont="1" applyAlignment="1">
      <alignment wrapText="1"/>
    </xf>
    <xf numFmtId="0" fontId="3" fillId="0" borderId="0" xfId="0" applyFont="1"/>
    <xf numFmtId="0" fontId="7" fillId="0" borderId="0" xfId="0" applyFont="1"/>
    <xf numFmtId="165" fontId="9" fillId="2" borderId="2" xfId="1" applyNumberFormat="1" applyFont="1" applyFill="1" applyBorder="1" applyAlignment="1">
      <alignment horizontal="center" vertical="center" wrapText="1"/>
    </xf>
    <xf numFmtId="0" fontId="9" fillId="2" borderId="3" xfId="1" applyFont="1" applyFill="1" applyBorder="1" applyAlignment="1">
      <alignment horizontal="center" vertical="center" wrapText="1"/>
    </xf>
    <xf numFmtId="4" fontId="9" fillId="2" borderId="3" xfId="1" applyNumberFormat="1" applyFont="1" applyFill="1" applyBorder="1" applyAlignment="1">
      <alignment horizontal="center" vertical="center" wrapText="1"/>
    </xf>
    <xf numFmtId="4" fontId="9" fillId="3" borderId="3" xfId="1" applyNumberFormat="1" applyFont="1" applyFill="1" applyBorder="1" applyAlignment="1">
      <alignment horizontal="center" vertical="center" wrapText="1"/>
    </xf>
    <xf numFmtId="4" fontId="9" fillId="3" borderId="4" xfId="1" applyNumberFormat="1" applyFont="1" applyFill="1" applyBorder="1" applyAlignment="1">
      <alignment horizontal="center" vertical="center" wrapText="1"/>
    </xf>
    <xf numFmtId="0" fontId="12" fillId="4" borderId="5" xfId="2" applyNumberFormat="1" applyFont="1" applyFill="1" applyBorder="1"/>
    <xf numFmtId="49" fontId="12" fillId="4" borderId="6" xfId="2" applyNumberFormat="1" applyFont="1" applyFill="1" applyBorder="1"/>
    <xf numFmtId="49" fontId="12" fillId="4" borderId="7" xfId="2" applyNumberFormat="1" applyFont="1" applyFill="1" applyBorder="1"/>
    <xf numFmtId="166" fontId="13" fillId="5" borderId="8" xfId="1" applyNumberFormat="1" applyFont="1" applyFill="1" applyBorder="1" applyProtection="1">
      <protection locked="0"/>
    </xf>
    <xf numFmtId="0" fontId="13" fillId="5" borderId="9" xfId="1" applyFont="1" applyFill="1" applyBorder="1" applyProtection="1">
      <protection locked="0"/>
    </xf>
    <xf numFmtId="166" fontId="13" fillId="4" borderId="8" xfId="1" applyNumberFormat="1" applyFont="1" applyFill="1" applyBorder="1"/>
    <xf numFmtId="0" fontId="13" fillId="4" borderId="10" xfId="1" applyFont="1" applyFill="1" applyBorder="1"/>
    <xf numFmtId="4" fontId="13" fillId="4" borderId="10" xfId="1" applyNumberFormat="1" applyFont="1" applyFill="1" applyBorder="1"/>
    <xf numFmtId="167" fontId="13" fillId="4" borderId="9" xfId="1" applyNumberFormat="1" applyFont="1" applyFill="1" applyBorder="1"/>
    <xf numFmtId="0" fontId="14" fillId="0" borderId="0" xfId="1" applyFont="1" applyFill="1"/>
    <xf numFmtId="4" fontId="13" fillId="6" borderId="11" xfId="1" applyNumberFormat="1" applyFont="1" applyFill="1" applyBorder="1"/>
    <xf numFmtId="4" fontId="9" fillId="7" borderId="11" xfId="1" applyNumberFormat="1" applyFont="1" applyFill="1" applyBorder="1" applyAlignment="1">
      <alignment horizontal="center" vertical="center" wrapText="1"/>
    </xf>
    <xf numFmtId="49" fontId="15" fillId="8" borderId="5" xfId="2" applyNumberFormat="1" applyFont="1" applyFill="1" applyBorder="1"/>
    <xf numFmtId="0" fontId="4" fillId="9" borderId="7" xfId="0" applyFont="1" applyFill="1" applyBorder="1"/>
    <xf numFmtId="4" fontId="14" fillId="8" borderId="11" xfId="1" applyNumberFormat="1" applyFont="1" applyFill="1" applyBorder="1"/>
    <xf numFmtId="0" fontId="0" fillId="10" borderId="11" xfId="0" applyFill="1" applyBorder="1"/>
    <xf numFmtId="0" fontId="0" fillId="10" borderId="6" xfId="0" applyFill="1" applyBorder="1"/>
    <xf numFmtId="0" fontId="2" fillId="10" borderId="11" xfId="0" applyFont="1" applyFill="1" applyBorder="1" applyAlignment="1">
      <alignment horizontal="right"/>
    </xf>
    <xf numFmtId="0" fontId="2" fillId="10" borderId="5" xfId="0" applyFont="1" applyFill="1" applyBorder="1" applyAlignment="1">
      <alignment horizontal="right"/>
    </xf>
    <xf numFmtId="0" fontId="2" fillId="10" borderId="7" xfId="0" applyFont="1" applyFill="1" applyBorder="1" applyAlignment="1">
      <alignment horizontal="right"/>
    </xf>
    <xf numFmtId="0" fontId="2" fillId="10" borderId="12" xfId="0" applyFont="1" applyFill="1" applyBorder="1"/>
    <xf numFmtId="0" fontId="0" fillId="10" borderId="10" xfId="0" applyFill="1" applyBorder="1"/>
    <xf numFmtId="0" fontId="2" fillId="10" borderId="8" xfId="0" applyFont="1" applyFill="1" applyBorder="1"/>
    <xf numFmtId="0" fontId="2" fillId="10" borderId="9" xfId="0" applyFont="1" applyFill="1" applyBorder="1"/>
    <xf numFmtId="0" fontId="2" fillId="11" borderId="12" xfId="0" applyFont="1" applyFill="1" applyBorder="1" applyProtection="1">
      <protection locked="0"/>
    </xf>
    <xf numFmtId="0" fontId="6" fillId="10" borderId="9" xfId="0" applyFont="1" applyFill="1" applyBorder="1"/>
    <xf numFmtId="0" fontId="0" fillId="10" borderId="5" xfId="0" applyFill="1" applyBorder="1"/>
    <xf numFmtId="0" fontId="0" fillId="10" borderId="7" xfId="0" applyFill="1" applyBorder="1"/>
    <xf numFmtId="0" fontId="2" fillId="10" borderId="11" xfId="0" applyFont="1" applyFill="1" applyBorder="1"/>
    <xf numFmtId="0" fontId="16" fillId="10" borderId="11" xfId="0" applyFont="1" applyFill="1" applyBorder="1"/>
    <xf numFmtId="0" fontId="17" fillId="10" borderId="11" xfId="0" applyFont="1" applyFill="1" applyBorder="1"/>
    <xf numFmtId="0" fontId="17" fillId="10" borderId="7" xfId="0" applyFont="1" applyFill="1" applyBorder="1"/>
    <xf numFmtId="0" fontId="16" fillId="10" borderId="12" xfId="0" applyFont="1" applyFill="1" applyBorder="1"/>
    <xf numFmtId="0" fontId="17" fillId="10" borderId="12" xfId="0" applyFont="1" applyFill="1" applyBorder="1"/>
    <xf numFmtId="0" fontId="17" fillId="10" borderId="9" xfId="0" applyFont="1" applyFill="1" applyBorder="1"/>
    <xf numFmtId="0" fontId="1" fillId="10" borderId="5" xfId="0" applyFont="1" applyFill="1" applyBorder="1"/>
    <xf numFmtId="0" fontId="1" fillId="10" borderId="6" xfId="0" applyFont="1" applyFill="1" applyBorder="1"/>
    <xf numFmtId="0" fontId="1" fillId="10" borderId="7" xfId="0" applyFont="1" applyFill="1" applyBorder="1"/>
    <xf numFmtId="0" fontId="1" fillId="10" borderId="2" xfId="0" applyFont="1" applyFill="1" applyBorder="1" applyAlignment="1">
      <alignment horizontal="right"/>
    </xf>
    <xf numFmtId="0" fontId="1" fillId="10" borderId="3" xfId="0" applyFont="1" applyFill="1" applyBorder="1" applyAlignment="1">
      <alignment horizontal="right"/>
    </xf>
    <xf numFmtId="0" fontId="1" fillId="10" borderId="4" xfId="0" applyFont="1" applyFill="1" applyBorder="1" applyAlignment="1">
      <alignment horizontal="right"/>
    </xf>
    <xf numFmtId="166" fontId="0" fillId="10" borderId="13" xfId="0" applyNumberFormat="1" applyFill="1" applyBorder="1" applyAlignment="1">
      <alignment horizontal="right"/>
    </xf>
    <xf numFmtId="0" fontId="0" fillId="10" borderId="14" xfId="0" applyFill="1" applyBorder="1" applyAlignment="1">
      <alignment horizontal="right"/>
    </xf>
    <xf numFmtId="0" fontId="0" fillId="10" borderId="15" xfId="0" applyFill="1" applyBorder="1" applyAlignment="1">
      <alignment horizontal="right"/>
    </xf>
    <xf numFmtId="0" fontId="0" fillId="10" borderId="16" xfId="0" applyFill="1" applyBorder="1" applyAlignment="1">
      <alignment horizontal="right"/>
    </xf>
    <xf numFmtId="0" fontId="0" fillId="10" borderId="1" xfId="0" applyFill="1" applyBorder="1" applyAlignment="1">
      <alignment horizontal="right"/>
    </xf>
    <xf numFmtId="0" fontId="0" fillId="10" borderId="17" xfId="0" applyFill="1" applyBorder="1" applyAlignment="1">
      <alignment horizontal="right"/>
    </xf>
    <xf numFmtId="0" fontId="0" fillId="10" borderId="18" xfId="0" applyFill="1" applyBorder="1" applyAlignment="1">
      <alignment horizontal="right"/>
    </xf>
    <xf numFmtId="0" fontId="0" fillId="10" borderId="19" xfId="0" applyFill="1" applyBorder="1" applyAlignment="1">
      <alignment horizontal="right"/>
    </xf>
    <xf numFmtId="0" fontId="0" fillId="10" borderId="20" xfId="0" applyFill="1" applyBorder="1" applyAlignment="1">
      <alignment horizontal="right"/>
    </xf>
    <xf numFmtId="4" fontId="0" fillId="10" borderId="13" xfId="0" applyNumberFormat="1" applyFill="1" applyBorder="1" applyAlignment="1">
      <alignment horizontal="right"/>
    </xf>
    <xf numFmtId="4" fontId="0" fillId="10" borderId="15" xfId="0" applyNumberFormat="1" applyFill="1" applyBorder="1" applyAlignment="1">
      <alignment horizontal="right"/>
    </xf>
    <xf numFmtId="4" fontId="0" fillId="10" borderId="4" xfId="0" applyNumberFormat="1" applyFont="1" applyFill="1" applyBorder="1" applyAlignment="1">
      <alignment horizontal="right"/>
    </xf>
    <xf numFmtId="0" fontId="0" fillId="10" borderId="21" xfId="0" applyFill="1" applyBorder="1" applyAlignment="1">
      <alignment horizontal="right"/>
    </xf>
    <xf numFmtId="0" fontId="0" fillId="10" borderId="22" xfId="0" applyFill="1" applyBorder="1" applyAlignment="1">
      <alignment horizontal="right"/>
    </xf>
    <xf numFmtId="0" fontId="0" fillId="10" borderId="23" xfId="0" applyFill="1" applyBorder="1" applyAlignment="1">
      <alignment horizontal="right"/>
    </xf>
    <xf numFmtId="4" fontId="1" fillId="10" borderId="4" xfId="0" applyNumberFormat="1" applyFont="1" applyFill="1" applyBorder="1" applyAlignment="1">
      <alignment horizontal="right"/>
    </xf>
    <xf numFmtId="0" fontId="0" fillId="10" borderId="13" xfId="0" applyFill="1" applyBorder="1" applyAlignment="1">
      <alignment horizontal="right"/>
    </xf>
    <xf numFmtId="0" fontId="0" fillId="10" borderId="1" xfId="0" quotePrefix="1" applyFill="1" applyBorder="1" applyAlignment="1">
      <alignment horizontal="right"/>
    </xf>
    <xf numFmtId="4" fontId="1" fillId="10" borderId="17" xfId="0" applyNumberFormat="1" applyFont="1" applyFill="1" applyBorder="1" applyAlignment="1">
      <alignment horizontal="right"/>
    </xf>
    <xf numFmtId="0" fontId="1" fillId="10" borderId="16" xfId="0" applyFont="1" applyFill="1" applyBorder="1" applyAlignment="1">
      <alignment horizontal="right"/>
    </xf>
    <xf numFmtId="4" fontId="0" fillId="10" borderId="16" xfId="0" applyNumberFormat="1" applyFill="1" applyBorder="1" applyAlignment="1">
      <alignment horizontal="right"/>
    </xf>
    <xf numFmtId="0" fontId="1" fillId="10" borderId="24" xfId="0" applyFont="1" applyFill="1" applyBorder="1" applyAlignment="1">
      <alignment horizontal="right"/>
    </xf>
    <xf numFmtId="0" fontId="1" fillId="10" borderId="25" xfId="0" applyFont="1" applyFill="1" applyBorder="1" applyAlignment="1">
      <alignment horizontal="right"/>
    </xf>
    <xf numFmtId="4" fontId="1" fillId="10" borderId="26" xfId="0" applyNumberFormat="1" applyFont="1" applyFill="1" applyBorder="1" applyAlignment="1">
      <alignment horizontal="right"/>
    </xf>
    <xf numFmtId="0" fontId="1" fillId="10" borderId="11" xfId="0" applyFont="1" applyFill="1" applyBorder="1" applyAlignment="1">
      <alignment horizontal="right"/>
    </xf>
    <xf numFmtId="0" fontId="1" fillId="10" borderId="6" xfId="0" applyFont="1" applyFill="1" applyBorder="1" applyAlignment="1">
      <alignment horizontal="right"/>
    </xf>
    <xf numFmtId="168" fontId="1" fillId="10" borderId="11" xfId="0" applyNumberFormat="1" applyFont="1" applyFill="1" applyBorder="1" applyAlignment="1">
      <alignment horizontal="right"/>
    </xf>
    <xf numFmtId="0" fontId="1" fillId="10" borderId="11" xfId="0" applyFont="1" applyFill="1" applyBorder="1"/>
    <xf numFmtId="169" fontId="6" fillId="10" borderId="7" xfId="0" applyNumberFormat="1" applyFont="1" applyFill="1" applyBorder="1"/>
    <xf numFmtId="0" fontId="1" fillId="11" borderId="27" xfId="0" applyFont="1" applyFill="1" applyBorder="1" applyProtection="1">
      <protection locked="0"/>
    </xf>
    <xf numFmtId="0" fontId="1" fillId="10" borderId="28" xfId="0" applyFont="1" applyFill="1" applyBorder="1"/>
    <xf numFmtId="0" fontId="1" fillId="11" borderId="28" xfId="0" applyFont="1" applyFill="1" applyBorder="1" applyProtection="1">
      <protection locked="0"/>
    </xf>
    <xf numFmtId="0" fontId="1" fillId="10" borderId="29" xfId="0" applyFont="1" applyFill="1" applyBorder="1"/>
    <xf numFmtId="0" fontId="18" fillId="7" borderId="0" xfId="2" applyNumberFormat="1" applyFont="1" applyFill="1"/>
    <xf numFmtId="0" fontId="11" fillId="0" borderId="0" xfId="2" applyFill="1"/>
    <xf numFmtId="0" fontId="0" fillId="0" borderId="0" xfId="0" applyAlignment="1">
      <alignment horizontal="right"/>
    </xf>
    <xf numFmtId="0" fontId="19" fillId="12" borderId="0" xfId="0" applyFont="1" applyFill="1"/>
    <xf numFmtId="49" fontId="19" fillId="12" borderId="0" xfId="0" applyNumberFormat="1" applyFont="1" applyFill="1"/>
    <xf numFmtId="49" fontId="19" fillId="0" borderId="0" xfId="0" applyNumberFormat="1" applyFont="1"/>
    <xf numFmtId="166" fontId="19" fillId="0" borderId="0" xfId="0" applyNumberFormat="1" applyFont="1"/>
    <xf numFmtId="170" fontId="19" fillId="0" borderId="0" xfId="0" applyNumberFormat="1" applyFont="1"/>
    <xf numFmtId="2" fontId="19" fillId="0" borderId="0" xfId="0" applyNumberFormat="1" applyFont="1"/>
    <xf numFmtId="0" fontId="19" fillId="0" borderId="0" xfId="0" applyFont="1"/>
    <xf numFmtId="171" fontId="19" fillId="0" borderId="0" xfId="0" applyNumberFormat="1" applyFont="1"/>
    <xf numFmtId="0" fontId="20" fillId="0" borderId="0" xfId="0" applyFont="1"/>
    <xf numFmtId="172" fontId="20" fillId="6" borderId="0" xfId="1" applyNumberFormat="1" applyFont="1" applyFill="1"/>
    <xf numFmtId="0" fontId="18" fillId="7" borderId="0" xfId="2" applyNumberFormat="1" applyFont="1" applyFill="1" applyAlignment="1">
      <alignment horizontal="center"/>
    </xf>
    <xf numFmtId="0" fontId="9" fillId="7" borderId="0" xfId="1" applyFont="1" applyFill="1" applyAlignment="1">
      <alignment horizontal="center"/>
    </xf>
    <xf numFmtId="164" fontId="9" fillId="7" borderId="0" xfId="1" applyNumberFormat="1" applyFont="1" applyFill="1" applyAlignment="1">
      <alignment horizontal="center"/>
    </xf>
    <xf numFmtId="165" fontId="9" fillId="7" borderId="0" xfId="1" applyNumberFormat="1" applyFont="1" applyFill="1" applyAlignment="1">
      <alignment horizontal="center"/>
    </xf>
    <xf numFmtId="0" fontId="9" fillId="0" borderId="0" xfId="1" applyFont="1" applyFill="1" applyAlignment="1">
      <alignment horizontal="center"/>
    </xf>
    <xf numFmtId="0" fontId="19" fillId="6" borderId="0" xfId="2" applyNumberFormat="1" applyFont="1" applyFill="1"/>
    <xf numFmtId="49" fontId="19" fillId="6" borderId="0" xfId="2" applyNumberFormat="1" applyFont="1" applyFill="1"/>
    <xf numFmtId="0" fontId="20" fillId="6" borderId="0" xfId="1" applyFont="1" applyFill="1"/>
    <xf numFmtId="164" fontId="20" fillId="6" borderId="0" xfId="1" applyNumberFormat="1" applyFont="1" applyFill="1"/>
    <xf numFmtId="165" fontId="20" fillId="6" borderId="0" xfId="1" applyNumberFormat="1" applyFont="1" applyFill="1"/>
    <xf numFmtId="165" fontId="20" fillId="0" borderId="0" xfId="1" applyNumberFormat="1" applyFont="1" applyFill="1"/>
    <xf numFmtId="171" fontId="20" fillId="0" borderId="0" xfId="1" applyNumberFormat="1" applyFont="1" applyFill="1"/>
    <xf numFmtId="173" fontId="20" fillId="0" borderId="0" xfId="1" applyNumberFormat="1" applyFont="1" applyFill="1"/>
    <xf numFmtId="164" fontId="20" fillId="0" borderId="0" xfId="1" applyNumberFormat="1" applyFont="1" applyFill="1"/>
    <xf numFmtId="0" fontId="20" fillId="0" borderId="0" xfId="1" applyFont="1" applyFill="1"/>
    <xf numFmtId="0" fontId="0" fillId="0" borderId="0" xfId="0" quotePrefix="1"/>
    <xf numFmtId="0" fontId="21" fillId="0" borderId="0" xfId="0" applyFont="1"/>
    <xf numFmtId="0" fontId="23" fillId="0" borderId="0" xfId="0" applyFont="1"/>
    <xf numFmtId="0" fontId="3" fillId="10" borderId="1" xfId="0" applyFont="1" applyFill="1" applyBorder="1"/>
    <xf numFmtId="0" fontId="22" fillId="10" borderId="1" xfId="0" applyFont="1" applyFill="1" applyBorder="1"/>
    <xf numFmtId="0" fontId="2" fillId="10" borderId="1" xfId="0" applyFont="1" applyFill="1" applyBorder="1"/>
    <xf numFmtId="165" fontId="3" fillId="10" borderId="1" xfId="0" applyNumberFormat="1" applyFont="1" applyFill="1" applyBorder="1"/>
    <xf numFmtId="2" fontId="3" fillId="10" borderId="1" xfId="0" applyNumberFormat="1" applyFont="1" applyFill="1" applyBorder="1"/>
    <xf numFmtId="2" fontId="2" fillId="10" borderId="1" xfId="0" applyNumberFormat="1" applyFont="1" applyFill="1" applyBorder="1"/>
    <xf numFmtId="0" fontId="6" fillId="10" borderId="1" xfId="0" applyFont="1" applyFill="1" applyBorder="1"/>
    <xf numFmtId="2" fontId="6" fillId="10" borderId="1" xfId="0" applyNumberFormat="1" applyFont="1" applyFill="1" applyBorder="1"/>
    <xf numFmtId="10" fontId="3" fillId="10" borderId="1" xfId="0" applyNumberFormat="1" applyFont="1" applyFill="1" applyBorder="1"/>
    <xf numFmtId="164" fontId="3" fillId="10" borderId="1" xfId="0" applyNumberFormat="1" applyFont="1" applyFill="1" applyBorder="1"/>
    <xf numFmtId="2" fontId="25" fillId="10" borderId="1" xfId="0" applyNumberFormat="1" applyFont="1" applyFill="1" applyBorder="1"/>
    <xf numFmtId="2" fontId="24" fillId="10" borderId="1" xfId="0" applyNumberFormat="1" applyFont="1" applyFill="1" applyBorder="1"/>
    <xf numFmtId="0" fontId="24" fillId="10" borderId="1" xfId="0" applyFont="1" applyFill="1" applyBorder="1"/>
    <xf numFmtId="0" fontId="5" fillId="0" borderId="0" xfId="0" applyFont="1"/>
    <xf numFmtId="0" fontId="2" fillId="10" borderId="14" xfId="0" applyFont="1" applyFill="1" applyBorder="1" applyAlignment="1">
      <alignment horizontal="right" wrapText="1"/>
    </xf>
    <xf numFmtId="0" fontId="2" fillId="10" borderId="5" xfId="0" applyFont="1" applyFill="1" applyBorder="1"/>
    <xf numFmtId="171" fontId="0" fillId="0" borderId="0" xfId="0" applyNumberFormat="1"/>
    <xf numFmtId="10" fontId="27" fillId="10" borderId="1" xfId="0" applyNumberFormat="1" applyFont="1" applyFill="1" applyBorder="1"/>
    <xf numFmtId="0" fontId="2" fillId="10" borderId="35" xfId="0" applyFont="1" applyFill="1" applyBorder="1" applyAlignment="1">
      <alignment wrapText="1"/>
    </xf>
    <xf numFmtId="0" fontId="2" fillId="10" borderId="36" xfId="0" applyFont="1" applyFill="1" applyBorder="1" applyAlignment="1">
      <alignment horizontal="right" wrapText="1"/>
    </xf>
    <xf numFmtId="0" fontId="22" fillId="10" borderId="36" xfId="0" applyFont="1" applyFill="1" applyBorder="1" applyAlignment="1">
      <alignment horizontal="right" wrapText="1"/>
    </xf>
    <xf numFmtId="171" fontId="2" fillId="10" borderId="36" xfId="0" applyNumberFormat="1" applyFont="1" applyFill="1" applyBorder="1" applyAlignment="1">
      <alignment horizontal="right" wrapText="1"/>
    </xf>
    <xf numFmtId="0" fontId="6" fillId="10" borderId="36" xfId="0" applyFont="1" applyFill="1" applyBorder="1" applyAlignment="1">
      <alignment horizontal="right" wrapText="1"/>
    </xf>
    <xf numFmtId="0" fontId="3" fillId="10" borderId="16" xfId="0" quotePrefix="1" applyFont="1" applyFill="1" applyBorder="1"/>
    <xf numFmtId="0" fontId="3" fillId="10" borderId="16" xfId="0" applyFont="1" applyFill="1" applyBorder="1"/>
    <xf numFmtId="0" fontId="3" fillId="10" borderId="24" xfId="0" applyFont="1" applyFill="1" applyBorder="1"/>
    <xf numFmtId="0" fontId="3" fillId="10" borderId="25" xfId="0" applyFont="1" applyFill="1" applyBorder="1"/>
    <xf numFmtId="165" fontId="3" fillId="10" borderId="25" xfId="0" applyNumberFormat="1" applyFont="1" applyFill="1" applyBorder="1"/>
    <xf numFmtId="0" fontId="22" fillId="10" borderId="25" xfId="0" applyFont="1" applyFill="1" applyBorder="1"/>
    <xf numFmtId="2" fontId="3" fillId="10" borderId="25" xfId="0" applyNumberFormat="1" applyFont="1" applyFill="1" applyBorder="1"/>
    <xf numFmtId="2" fontId="2" fillId="10" borderId="25" xfId="0" applyNumberFormat="1" applyFont="1" applyFill="1" applyBorder="1"/>
    <xf numFmtId="2" fontId="6" fillId="10" borderId="25" xfId="0" applyNumberFormat="1" applyFont="1" applyFill="1" applyBorder="1"/>
    <xf numFmtId="10" fontId="3" fillId="10" borderId="25" xfId="0" applyNumberFormat="1" applyFont="1" applyFill="1" applyBorder="1"/>
    <xf numFmtId="164" fontId="3" fillId="10" borderId="25" xfId="0" applyNumberFormat="1" applyFont="1" applyFill="1" applyBorder="1"/>
    <xf numFmtId="0" fontId="2" fillId="10" borderId="37" xfId="0" applyFont="1" applyFill="1" applyBorder="1" applyAlignment="1">
      <alignment horizontal="right" wrapText="1"/>
    </xf>
    <xf numFmtId="2" fontId="0" fillId="10" borderId="1" xfId="0" applyNumberFormat="1" applyFill="1" applyBorder="1"/>
    <xf numFmtId="0" fontId="2" fillId="10" borderId="2" xfId="0" applyFont="1" applyFill="1" applyBorder="1" applyAlignment="1">
      <alignment horizontal="right" wrapText="1"/>
    </xf>
    <xf numFmtId="0" fontId="2" fillId="10" borderId="3" xfId="0" applyFont="1" applyFill="1" applyBorder="1" applyAlignment="1">
      <alignment horizontal="right" wrapText="1"/>
    </xf>
    <xf numFmtId="0" fontId="2" fillId="10" borderId="4" xfId="0" applyFont="1" applyFill="1" applyBorder="1" applyAlignment="1">
      <alignment horizontal="right" wrapText="1"/>
    </xf>
    <xf numFmtId="0" fontId="3" fillId="10" borderId="38" xfId="0" applyFont="1" applyFill="1" applyBorder="1"/>
    <xf numFmtId="10" fontId="27" fillId="10" borderId="38" xfId="0" applyNumberFormat="1" applyFont="1" applyFill="1" applyBorder="1"/>
    <xf numFmtId="0" fontId="2" fillId="10" borderId="35" xfId="0" applyFont="1" applyFill="1" applyBorder="1" applyAlignment="1">
      <alignment horizontal="right" wrapText="1"/>
    </xf>
    <xf numFmtId="0" fontId="2" fillId="10" borderId="39" xfId="0" applyFont="1" applyFill="1" applyBorder="1" applyAlignment="1">
      <alignment horizontal="right" wrapText="1"/>
    </xf>
    <xf numFmtId="2" fontId="3" fillId="10" borderId="17" xfId="0" applyNumberFormat="1" applyFont="1" applyFill="1" applyBorder="1"/>
    <xf numFmtId="2" fontId="3" fillId="10" borderId="26" xfId="0" applyNumberFormat="1" applyFont="1" applyFill="1" applyBorder="1"/>
    <xf numFmtId="0" fontId="1" fillId="10" borderId="12" xfId="0" applyFont="1" applyFill="1" applyBorder="1"/>
    <xf numFmtId="2" fontId="1" fillId="10" borderId="9" xfId="0" applyNumberFormat="1" applyFont="1" applyFill="1" applyBorder="1"/>
    <xf numFmtId="0" fontId="0" fillId="10" borderId="16" xfId="0" applyFill="1" applyBorder="1"/>
    <xf numFmtId="0" fontId="0" fillId="10" borderId="24" xfId="0" applyFill="1" applyBorder="1"/>
    <xf numFmtId="0" fontId="0" fillId="10" borderId="25" xfId="0" applyFill="1" applyBorder="1" applyAlignment="1">
      <alignment horizontal="right"/>
    </xf>
    <xf numFmtId="2" fontId="0" fillId="10" borderId="25" xfId="0" applyNumberFormat="1" applyFill="1" applyBorder="1"/>
    <xf numFmtId="10" fontId="27" fillId="10" borderId="40" xfId="0" applyNumberFormat="1" applyFont="1" applyFill="1" applyBorder="1"/>
    <xf numFmtId="0" fontId="0" fillId="10" borderId="32" xfId="0" applyFill="1" applyBorder="1"/>
    <xf numFmtId="0" fontId="0" fillId="10" borderId="33" xfId="0" applyFill="1" applyBorder="1"/>
    <xf numFmtId="0" fontId="0" fillId="10" borderId="34" xfId="0" applyFill="1" applyBorder="1"/>
    <xf numFmtId="0" fontId="0" fillId="10" borderId="8" xfId="0" applyFill="1" applyBorder="1"/>
    <xf numFmtId="0" fontId="0" fillId="10" borderId="31" xfId="0" applyFill="1" applyBorder="1"/>
    <xf numFmtId="0" fontId="0" fillId="10" borderId="0" xfId="0" applyFill="1" applyBorder="1"/>
    <xf numFmtId="2" fontId="0" fillId="10" borderId="17" xfId="0" applyNumberFormat="1" applyFill="1" applyBorder="1"/>
    <xf numFmtId="2" fontId="0" fillId="10" borderId="26" xfId="0" applyNumberFormat="1" applyFill="1" applyBorder="1"/>
    <xf numFmtId="0" fontId="28" fillId="10" borderId="16" xfId="0" applyFont="1" applyFill="1" applyBorder="1"/>
    <xf numFmtId="2" fontId="28" fillId="10" borderId="1" xfId="0" applyNumberFormat="1" applyFont="1" applyFill="1" applyBorder="1"/>
    <xf numFmtId="2" fontId="28" fillId="10" borderId="17" xfId="0" applyNumberFormat="1" applyFont="1" applyFill="1" applyBorder="1"/>
    <xf numFmtId="0" fontId="28" fillId="10" borderId="24" xfId="0" applyFont="1" applyFill="1" applyBorder="1"/>
    <xf numFmtId="2" fontId="28" fillId="10" borderId="25" xfId="0" applyNumberFormat="1" applyFont="1" applyFill="1" applyBorder="1"/>
    <xf numFmtId="2" fontId="28" fillId="10" borderId="26" xfId="0" applyNumberFormat="1" applyFont="1" applyFill="1" applyBorder="1"/>
    <xf numFmtId="0" fontId="28" fillId="10" borderId="13" xfId="0" quotePrefix="1" applyFont="1" applyFill="1" applyBorder="1"/>
    <xf numFmtId="0" fontId="28" fillId="10" borderId="13" xfId="0" quotePrefix="1" applyFont="1" applyFill="1" applyBorder="1" applyAlignment="1">
      <alignment horizontal="right"/>
    </xf>
    <xf numFmtId="0" fontId="28" fillId="10" borderId="41" xfId="0" quotePrefix="1" applyFont="1" applyFill="1" applyBorder="1" applyAlignment="1">
      <alignment horizontal="right"/>
    </xf>
    <xf numFmtId="0" fontId="2" fillId="10" borderId="35" xfId="0" applyFont="1" applyFill="1" applyBorder="1"/>
    <xf numFmtId="0" fontId="2" fillId="10" borderId="2" xfId="0" applyFont="1" applyFill="1" applyBorder="1"/>
    <xf numFmtId="0" fontId="29" fillId="10" borderId="1" xfId="0" applyFont="1" applyFill="1" applyBorder="1" applyAlignment="1">
      <alignment horizontal="right"/>
    </xf>
    <xf numFmtId="0" fontId="21" fillId="10" borderId="1" xfId="0" applyFont="1" applyFill="1" applyBorder="1" applyAlignment="1">
      <alignment horizontal="right"/>
    </xf>
    <xf numFmtId="0" fontId="0" fillId="0" borderId="0" xfId="0" applyAlignment="1">
      <alignment wrapText="1"/>
    </xf>
    <xf numFmtId="0" fontId="22" fillId="10" borderId="2" xfId="0" applyFont="1" applyFill="1" applyBorder="1" applyAlignment="1">
      <alignment horizontal="center" wrapText="1"/>
    </xf>
    <xf numFmtId="0" fontId="22" fillId="10" borderId="3" xfId="0" applyFont="1" applyFill="1" applyBorder="1" applyAlignment="1">
      <alignment horizontal="center" wrapText="1"/>
    </xf>
    <xf numFmtId="0" fontId="22" fillId="10" borderId="7" xfId="0" applyFont="1" applyFill="1" applyBorder="1" applyAlignment="1">
      <alignment horizontal="center" wrapText="1"/>
    </xf>
    <xf numFmtId="0" fontId="22" fillId="10" borderId="42" xfId="0" applyFont="1" applyFill="1" applyBorder="1" applyAlignment="1">
      <alignment horizontal="center" wrapText="1"/>
    </xf>
    <xf numFmtId="0" fontId="21" fillId="10" borderId="43" xfId="0" applyFont="1" applyFill="1" applyBorder="1" applyAlignment="1">
      <alignment horizontal="center" wrapText="1"/>
    </xf>
    <xf numFmtId="2" fontId="23" fillId="10" borderId="43" xfId="0" applyNumberFormat="1" applyFont="1" applyFill="1" applyBorder="1" applyAlignment="1">
      <alignment horizontal="center" wrapText="1"/>
    </xf>
    <xf numFmtId="0" fontId="21" fillId="10" borderId="32" xfId="0" applyFont="1" applyFill="1" applyBorder="1" applyAlignment="1">
      <alignment horizontal="center" wrapText="1"/>
    </xf>
    <xf numFmtId="0" fontId="0" fillId="10" borderId="21" xfId="0" applyFill="1" applyBorder="1"/>
    <xf numFmtId="0" fontId="21" fillId="10" borderId="22" xfId="0" applyFont="1" applyFill="1" applyBorder="1" applyAlignment="1">
      <alignment horizontal="center" wrapText="1"/>
    </xf>
    <xf numFmtId="2" fontId="23" fillId="10" borderId="22" xfId="0" applyNumberFormat="1" applyFont="1" applyFill="1" applyBorder="1" applyAlignment="1">
      <alignment horizontal="center" wrapText="1"/>
    </xf>
    <xf numFmtId="0" fontId="21" fillId="10" borderId="34" xfId="0" applyFont="1" applyFill="1" applyBorder="1" applyAlignment="1">
      <alignment horizontal="center" wrapText="1"/>
    </xf>
    <xf numFmtId="0" fontId="0" fillId="10" borderId="27" xfId="0" applyFill="1" applyBorder="1"/>
    <xf numFmtId="0" fontId="21" fillId="10" borderId="28" xfId="0" applyFont="1" applyFill="1" applyBorder="1" applyAlignment="1">
      <alignment horizontal="center" wrapText="1"/>
    </xf>
    <xf numFmtId="2" fontId="23" fillId="10" borderId="28" xfId="0" applyNumberFormat="1" applyFont="1" applyFill="1" applyBorder="1" applyAlignment="1">
      <alignment horizontal="center" wrapText="1"/>
    </xf>
    <xf numFmtId="0" fontId="21" fillId="10" borderId="9" xfId="0" applyFont="1" applyFill="1" applyBorder="1" applyAlignment="1">
      <alignment horizontal="center" wrapText="1"/>
    </xf>
    <xf numFmtId="0" fontId="0" fillId="10" borderId="22" xfId="0" applyFill="1" applyBorder="1"/>
    <xf numFmtId="2" fontId="23" fillId="10" borderId="22" xfId="0" applyNumberFormat="1" applyFont="1" applyFill="1" applyBorder="1"/>
    <xf numFmtId="2" fontId="0" fillId="10" borderId="22" xfId="0" applyNumberFormat="1" applyFill="1" applyBorder="1"/>
    <xf numFmtId="0" fontId="21" fillId="10" borderId="34" xfId="0" applyFont="1" applyFill="1" applyBorder="1"/>
    <xf numFmtId="0" fontId="23" fillId="10" borderId="3" xfId="0" applyFont="1" applyFill="1" applyBorder="1" applyAlignment="1">
      <alignment horizontal="center" wrapText="1"/>
    </xf>
    <xf numFmtId="2" fontId="23" fillId="10" borderId="3" xfId="0" applyNumberFormat="1" applyFont="1" applyFill="1" applyBorder="1" applyAlignment="1">
      <alignment horizontal="center" wrapText="1"/>
    </xf>
    <xf numFmtId="0" fontId="23" fillId="10" borderId="7" xfId="0" applyFont="1" applyFill="1" applyBorder="1" applyAlignment="1">
      <alignment horizontal="center" wrapText="1"/>
    </xf>
    <xf numFmtId="0" fontId="22" fillId="10" borderId="21" xfId="0" applyFont="1" applyFill="1" applyBorder="1" applyAlignment="1">
      <alignment horizontal="center" wrapText="1"/>
    </xf>
    <xf numFmtId="0" fontId="22" fillId="10" borderId="6" xfId="0" applyFont="1" applyFill="1" applyBorder="1"/>
    <xf numFmtId="0" fontId="6" fillId="10" borderId="7" xfId="0" applyFont="1" applyFill="1" applyBorder="1"/>
    <xf numFmtId="0" fontId="2" fillId="10" borderId="6" xfId="0" applyFont="1" applyFill="1" applyBorder="1"/>
    <xf numFmtId="171" fontId="2" fillId="10" borderId="6" xfId="0" applyNumberFormat="1" applyFont="1" applyFill="1" applyBorder="1"/>
    <xf numFmtId="0" fontId="2" fillId="10" borderId="7" xfId="0" applyFont="1" applyFill="1" applyBorder="1"/>
    <xf numFmtId="0" fontId="2" fillId="10" borderId="11" xfId="0" applyFont="1" applyFill="1" applyBorder="1" applyAlignment="1">
      <alignment horizontal="right" wrapText="1"/>
    </xf>
    <xf numFmtId="2" fontId="28" fillId="10" borderId="44" xfId="0" applyNumberFormat="1" applyFont="1" applyFill="1" applyBorder="1"/>
    <xf numFmtId="2" fontId="28" fillId="10" borderId="45" xfId="0" applyNumberFormat="1" applyFont="1" applyFill="1" applyBorder="1"/>
    <xf numFmtId="0" fontId="3" fillId="13" borderId="1" xfId="0" applyFont="1" applyFill="1" applyBorder="1" applyProtection="1">
      <protection locked="0"/>
    </xf>
    <xf numFmtId="0" fontId="3" fillId="13" borderId="25" xfId="0" applyFont="1" applyFill="1" applyBorder="1" applyProtection="1">
      <protection locked="0"/>
    </xf>
    <xf numFmtId="0" fontId="24" fillId="13" borderId="1" xfId="0" applyFont="1" applyFill="1" applyBorder="1" applyProtection="1">
      <protection locked="0"/>
    </xf>
    <xf numFmtId="2" fontId="4" fillId="13" borderId="1" xfId="0" applyNumberFormat="1" applyFont="1" applyFill="1" applyBorder="1" applyProtection="1">
      <protection locked="0"/>
    </xf>
    <xf numFmtId="2" fontId="4" fillId="13" borderId="25" xfId="0" applyNumberFormat="1" applyFont="1" applyFill="1" applyBorder="1" applyProtection="1">
      <protection locked="0"/>
    </xf>
    <xf numFmtId="2" fontId="30" fillId="10" borderId="1" xfId="0" applyNumberFormat="1" applyFont="1" applyFill="1" applyBorder="1"/>
    <xf numFmtId="0" fontId="31" fillId="10" borderId="5" xfId="0" applyFont="1" applyFill="1" applyBorder="1"/>
    <xf numFmtId="0" fontId="2" fillId="10" borderId="13" xfId="0" applyFont="1" applyFill="1" applyBorder="1" applyAlignment="1">
      <alignment wrapText="1"/>
    </xf>
    <xf numFmtId="0" fontId="22" fillId="10" borderId="14" xfId="0" applyFont="1" applyFill="1" applyBorder="1" applyAlignment="1">
      <alignment horizontal="right" wrapText="1"/>
    </xf>
    <xf numFmtId="0" fontId="0" fillId="10" borderId="10" xfId="0" applyFont="1" applyFill="1" applyBorder="1"/>
    <xf numFmtId="0" fontId="3" fillId="10" borderId="10" xfId="0" applyFont="1" applyFill="1" applyBorder="1"/>
    <xf numFmtId="0" fontId="26" fillId="10" borderId="10" xfId="0" applyFont="1" applyFill="1" applyBorder="1"/>
    <xf numFmtId="171" fontId="2" fillId="10" borderId="14" xfId="0" applyNumberFormat="1" applyFont="1" applyFill="1" applyBorder="1" applyAlignment="1">
      <alignment horizontal="right" wrapText="1"/>
    </xf>
    <xf numFmtId="0" fontId="6" fillId="10" borderId="14" xfId="0" applyFont="1" applyFill="1" applyBorder="1" applyAlignment="1">
      <alignment horizontal="right" wrapText="1"/>
    </xf>
    <xf numFmtId="0" fontId="5" fillId="10" borderId="10" xfId="0" applyFont="1" applyFill="1" applyBorder="1"/>
    <xf numFmtId="0" fontId="23" fillId="10" borderId="10" xfId="0" applyFont="1" applyFill="1" applyBorder="1"/>
    <xf numFmtId="171" fontId="0" fillId="10" borderId="10" xfId="0" applyNumberFormat="1" applyFill="1" applyBorder="1"/>
    <xf numFmtId="0" fontId="21" fillId="10" borderId="9" xfId="0" applyFont="1" applyFill="1" applyBorder="1"/>
    <xf numFmtId="0" fontId="2" fillId="10" borderId="43" xfId="0" applyFont="1" applyFill="1" applyBorder="1" applyAlignment="1">
      <alignment horizontal="right" wrapText="1"/>
    </xf>
    <xf numFmtId="10" fontId="27" fillId="10" borderId="25" xfId="0" applyNumberFormat="1" applyFont="1" applyFill="1" applyBorder="1"/>
    <xf numFmtId="0" fontId="2" fillId="10" borderId="46" xfId="0" applyFont="1" applyFill="1" applyBorder="1" applyAlignment="1">
      <alignment horizontal="right" wrapText="1"/>
    </xf>
    <xf numFmtId="0" fontId="0" fillId="10" borderId="47" xfId="0" applyFill="1" applyBorder="1"/>
    <xf numFmtId="0" fontId="0" fillId="10" borderId="48" xfId="0" applyFill="1" applyBorder="1"/>
    <xf numFmtId="0" fontId="2" fillId="10" borderId="49" xfId="0" applyFont="1" applyFill="1" applyBorder="1" applyAlignment="1">
      <alignment horizontal="right" wrapText="1"/>
    </xf>
    <xf numFmtId="0" fontId="2" fillId="10" borderId="30" xfId="0" applyFont="1" applyFill="1" applyBorder="1"/>
    <xf numFmtId="0" fontId="3" fillId="10" borderId="17" xfId="0" applyFont="1" applyFill="1" applyBorder="1"/>
    <xf numFmtId="10" fontId="27" fillId="10" borderId="17" xfId="0" applyNumberFormat="1" applyFont="1" applyFill="1" applyBorder="1"/>
    <xf numFmtId="10" fontId="27" fillId="10" borderId="26" xfId="0" applyNumberFormat="1" applyFont="1" applyFill="1" applyBorder="1"/>
    <xf numFmtId="0" fontId="2" fillId="10" borderId="51" xfId="0" applyFont="1" applyFill="1" applyBorder="1" applyAlignment="1">
      <alignment horizontal="right" wrapText="1"/>
    </xf>
    <xf numFmtId="0" fontId="24" fillId="13" borderId="25" xfId="0" applyFont="1" applyFill="1" applyBorder="1" applyProtection="1">
      <protection locked="0"/>
    </xf>
    <xf numFmtId="0" fontId="2" fillId="10" borderId="32" xfId="0" applyFont="1" applyFill="1" applyBorder="1"/>
    <xf numFmtId="0" fontId="2" fillId="10" borderId="39" xfId="0" applyFont="1" applyFill="1" applyBorder="1"/>
    <xf numFmtId="0" fontId="2" fillId="10" borderId="16" xfId="0" applyFont="1" applyFill="1" applyBorder="1"/>
    <xf numFmtId="0" fontId="2" fillId="10" borderId="17" xfId="0" applyFont="1" applyFill="1" applyBorder="1"/>
    <xf numFmtId="0" fontId="2" fillId="10" borderId="18" xfId="0" applyFont="1" applyFill="1" applyBorder="1"/>
    <xf numFmtId="0" fontId="2" fillId="10" borderId="20" xfId="0" applyFont="1" applyFill="1" applyBorder="1"/>
    <xf numFmtId="0" fontId="2" fillId="10" borderId="4" xfId="0" applyFont="1" applyFill="1" applyBorder="1"/>
    <xf numFmtId="0" fontId="7" fillId="10" borderId="5" xfId="0" applyFont="1" applyFill="1" applyBorder="1"/>
    <xf numFmtId="0" fontId="32" fillId="10" borderId="5" xfId="0" applyFont="1" applyFill="1" applyBorder="1"/>
    <xf numFmtId="0" fontId="32" fillId="10" borderId="6" xfId="0" applyFont="1" applyFill="1" applyBorder="1"/>
    <xf numFmtId="0" fontId="32" fillId="10" borderId="7" xfId="0" applyFont="1" applyFill="1" applyBorder="1"/>
    <xf numFmtId="2" fontId="33" fillId="10" borderId="17" xfId="0" applyNumberFormat="1" applyFont="1" applyFill="1" applyBorder="1"/>
    <xf numFmtId="2" fontId="33" fillId="10" borderId="44" xfId="0" applyNumberFormat="1" applyFont="1" applyFill="1" applyBorder="1"/>
    <xf numFmtId="0" fontId="2" fillId="10" borderId="31" xfId="0" applyFont="1" applyFill="1" applyBorder="1"/>
    <xf numFmtId="0" fontId="22" fillId="10" borderId="31" xfId="0" applyFont="1" applyFill="1" applyBorder="1"/>
    <xf numFmtId="171" fontId="2" fillId="10" borderId="31" xfId="0" applyNumberFormat="1" applyFont="1" applyFill="1" applyBorder="1"/>
    <xf numFmtId="0" fontId="6" fillId="10" borderId="32" xfId="0" applyFont="1" applyFill="1" applyBorder="1"/>
    <xf numFmtId="2" fontId="23" fillId="10" borderId="1" xfId="0" applyNumberFormat="1" applyFont="1" applyFill="1" applyBorder="1" applyAlignment="1">
      <alignment horizontal="center" wrapText="1"/>
    </xf>
    <xf numFmtId="0" fontId="21" fillId="10" borderId="17" xfId="0" applyFont="1" applyFill="1" applyBorder="1" applyAlignment="1">
      <alignment horizontal="center" wrapText="1"/>
    </xf>
    <xf numFmtId="2" fontId="23" fillId="10" borderId="25" xfId="0" applyNumberFormat="1" applyFont="1" applyFill="1" applyBorder="1" applyAlignment="1">
      <alignment horizontal="center" wrapText="1"/>
    </xf>
    <xf numFmtId="0" fontId="21" fillId="10" borderId="26" xfId="0" applyFont="1" applyFill="1" applyBorder="1" applyAlignment="1">
      <alignment horizontal="center" wrapText="1"/>
    </xf>
    <xf numFmtId="2" fontId="23" fillId="10" borderId="14" xfId="0" applyNumberFormat="1" applyFont="1" applyFill="1" applyBorder="1" applyAlignment="1">
      <alignment horizontal="center" wrapText="1"/>
    </xf>
    <xf numFmtId="0" fontId="21" fillId="10" borderId="15" xfId="0" applyFont="1" applyFill="1" applyBorder="1" applyAlignment="1">
      <alignment horizontal="center" wrapText="1"/>
    </xf>
    <xf numFmtId="0" fontId="22" fillId="10" borderId="4" xfId="0" applyFont="1" applyFill="1" applyBorder="1" applyAlignment="1">
      <alignment horizontal="center" wrapText="1"/>
    </xf>
    <xf numFmtId="0" fontId="21" fillId="10" borderId="52" xfId="0" applyFont="1" applyFill="1" applyBorder="1" applyAlignment="1">
      <alignment horizontal="center" wrapText="1"/>
    </xf>
    <xf numFmtId="0" fontId="21" fillId="10" borderId="48" xfId="0" applyFont="1" applyFill="1" applyBorder="1" applyAlignment="1">
      <alignment horizontal="center" wrapText="1"/>
    </xf>
    <xf numFmtId="0" fontId="21" fillId="10" borderId="50" xfId="0" applyFont="1" applyFill="1" applyBorder="1" applyAlignment="1">
      <alignment horizontal="center" wrapText="1"/>
    </xf>
    <xf numFmtId="0" fontId="22" fillId="10" borderId="53" xfId="0" applyFont="1" applyFill="1" applyBorder="1" applyAlignment="1">
      <alignment horizontal="center" wrapText="1"/>
    </xf>
    <xf numFmtId="0" fontId="0" fillId="10" borderId="54" xfId="0" applyFill="1" applyBorder="1"/>
    <xf numFmtId="0" fontId="22" fillId="10" borderId="12" xfId="0" applyFont="1" applyFill="1" applyBorder="1" applyAlignment="1">
      <alignment horizontal="center" wrapText="1"/>
    </xf>
    <xf numFmtId="0" fontId="34" fillId="10" borderId="5" xfId="0" applyFont="1" applyFill="1" applyBorder="1"/>
    <xf numFmtId="0" fontId="23" fillId="10" borderId="6" xfId="0" applyFont="1" applyFill="1" applyBorder="1"/>
    <xf numFmtId="171" fontId="0" fillId="10" borderId="6" xfId="0" applyNumberFormat="1" applyFill="1" applyBorder="1"/>
    <xf numFmtId="0" fontId="21" fillId="10" borderId="6" xfId="0" applyFont="1" applyFill="1" applyBorder="1"/>
    <xf numFmtId="0" fontId="22" fillId="10" borderId="36" xfId="0" applyFont="1" applyFill="1" applyBorder="1" applyAlignment="1">
      <alignment wrapText="1"/>
    </xf>
    <xf numFmtId="171" fontId="2" fillId="10" borderId="36" xfId="0" applyNumberFormat="1" applyFont="1" applyFill="1" applyBorder="1" applyAlignment="1">
      <alignment wrapText="1"/>
    </xf>
    <xf numFmtId="0" fontId="2" fillId="10" borderId="36" xfId="0" applyFont="1" applyFill="1" applyBorder="1" applyAlignment="1">
      <alignment wrapText="1"/>
    </xf>
    <xf numFmtId="0" fontId="2" fillId="10" borderId="39" xfId="0" applyFont="1" applyFill="1" applyBorder="1" applyAlignment="1">
      <alignment wrapText="1"/>
    </xf>
    <xf numFmtId="171" fontId="2" fillId="10" borderId="1" xfId="0" applyNumberFormat="1" applyFont="1" applyFill="1" applyBorder="1"/>
    <xf numFmtId="171" fontId="2" fillId="10" borderId="17" xfId="0" applyNumberFormat="1" applyFont="1" applyFill="1" applyBorder="1"/>
    <xf numFmtId="0" fontId="2" fillId="10" borderId="24" xfId="0" applyFont="1" applyFill="1" applyBorder="1"/>
    <xf numFmtId="0" fontId="23" fillId="10" borderId="25" xfId="0" applyFont="1" applyFill="1" applyBorder="1"/>
    <xf numFmtId="171" fontId="2" fillId="10" borderId="25" xfId="0" applyNumberFormat="1" applyFont="1" applyFill="1" applyBorder="1"/>
    <xf numFmtId="171" fontId="2" fillId="10" borderId="26" xfId="0" applyNumberFormat="1" applyFont="1" applyFill="1" applyBorder="1"/>
    <xf numFmtId="2" fontId="2" fillId="10" borderId="24" xfId="0" applyNumberFormat="1" applyFont="1" applyFill="1" applyBorder="1"/>
    <xf numFmtId="0" fontId="35" fillId="10" borderId="6" xfId="0" applyFont="1" applyFill="1" applyBorder="1"/>
    <xf numFmtId="0" fontId="2" fillId="10" borderId="28" xfId="0" applyFont="1" applyFill="1" applyBorder="1" applyAlignment="1">
      <alignment horizontal="center" wrapText="1"/>
    </xf>
    <xf numFmtId="0" fontId="22" fillId="10" borderId="9" xfId="0" applyFont="1" applyFill="1" applyBorder="1" applyAlignment="1">
      <alignment horizontal="center" wrapText="1"/>
    </xf>
    <xf numFmtId="0" fontId="2" fillId="10" borderId="13" xfId="0" applyFont="1" applyFill="1" applyBorder="1" applyAlignment="1">
      <alignment horizontal="right" wrapText="1"/>
    </xf>
    <xf numFmtId="0" fontId="2" fillId="10" borderId="2" xfId="0" applyFont="1" applyFill="1" applyBorder="1" applyAlignment="1">
      <alignment wrapText="1"/>
    </xf>
    <xf numFmtId="0" fontId="21" fillId="10" borderId="16" xfId="0" applyFont="1" applyFill="1" applyBorder="1" applyAlignment="1">
      <alignment horizontal="center" wrapText="1"/>
    </xf>
    <xf numFmtId="0" fontId="22" fillId="10" borderId="33" xfId="0" applyFont="1" applyFill="1" applyBorder="1" applyAlignment="1">
      <alignment horizontal="center" wrapText="1"/>
    </xf>
    <xf numFmtId="2" fontId="23" fillId="10" borderId="25" xfId="0" applyNumberFormat="1" applyFont="1" applyFill="1" applyBorder="1"/>
    <xf numFmtId="0" fontId="21" fillId="10" borderId="26" xfId="0" applyFont="1" applyFill="1" applyBorder="1"/>
    <xf numFmtId="0" fontId="0" fillId="10" borderId="6" xfId="0" applyFont="1" applyFill="1" applyBorder="1"/>
    <xf numFmtId="0" fontId="3" fillId="10" borderId="6" xfId="0" applyFont="1" applyFill="1" applyBorder="1"/>
    <xf numFmtId="0" fontId="26" fillId="10" borderId="6" xfId="0" applyFont="1" applyFill="1" applyBorder="1"/>
    <xf numFmtId="0" fontId="5" fillId="10" borderId="6" xfId="0" applyFont="1" applyFill="1" applyBorder="1"/>
    <xf numFmtId="0" fontId="21" fillId="10" borderId="7" xfId="0" applyFont="1" applyFill="1" applyBorder="1"/>
    <xf numFmtId="0" fontId="21" fillId="10" borderId="13" xfId="0" applyFont="1" applyFill="1" applyBorder="1" applyAlignment="1">
      <alignment horizontal="center" wrapText="1"/>
    </xf>
    <xf numFmtId="0" fontId="22" fillId="10" borderId="5" xfId="0" applyFont="1" applyFill="1" applyBorder="1" applyAlignment="1">
      <alignment horizontal="center" wrapText="1"/>
    </xf>
    <xf numFmtId="0" fontId="36" fillId="14" borderId="1" xfId="0" applyFont="1" applyFill="1" applyBorder="1"/>
    <xf numFmtId="0" fontId="36" fillId="14" borderId="25" xfId="0" applyFont="1" applyFill="1" applyBorder="1"/>
    <xf numFmtId="0" fontId="3" fillId="10" borderId="26" xfId="0" applyFont="1" applyFill="1" applyBorder="1"/>
    <xf numFmtId="0" fontId="3" fillId="10" borderId="13" xfId="0" applyFont="1" applyFill="1" applyBorder="1"/>
    <xf numFmtId="0" fontId="3" fillId="10" borderId="14" xfId="0" applyFont="1" applyFill="1" applyBorder="1"/>
    <xf numFmtId="0" fontId="36" fillId="14" borderId="14" xfId="0" applyFont="1" applyFill="1" applyBorder="1"/>
    <xf numFmtId="0" fontId="3" fillId="10" borderId="15" xfId="0" applyFont="1" applyFill="1" applyBorder="1"/>
    <xf numFmtId="2" fontId="0" fillId="0" borderId="0" xfId="0" applyNumberFormat="1"/>
    <xf numFmtId="2" fontId="3" fillId="13" borderId="16" xfId="0" applyNumberFormat="1" applyFont="1" applyFill="1" applyBorder="1" applyProtection="1">
      <protection locked="0"/>
    </xf>
    <xf numFmtId="2" fontId="3" fillId="13" borderId="24" xfId="0" applyNumberFormat="1" applyFont="1" applyFill="1" applyBorder="1" applyProtection="1">
      <protection locked="0"/>
    </xf>
    <xf numFmtId="0" fontId="1" fillId="10" borderId="9" xfId="0" applyFont="1" applyFill="1" applyBorder="1"/>
    <xf numFmtId="2" fontId="0" fillId="13" borderId="1" xfId="0" applyNumberFormat="1" applyFill="1" applyBorder="1" applyProtection="1">
      <protection locked="0"/>
    </xf>
    <xf numFmtId="2" fontId="0" fillId="10" borderId="19" xfId="0" applyNumberFormat="1" applyFill="1" applyBorder="1"/>
    <xf numFmtId="2" fontId="0" fillId="10" borderId="55" xfId="0" applyNumberFormat="1" applyFill="1" applyBorder="1"/>
    <xf numFmtId="0" fontId="0" fillId="10" borderId="45" xfId="0" applyFill="1" applyBorder="1"/>
    <xf numFmtId="169" fontId="1" fillId="10" borderId="9" xfId="0" applyNumberFormat="1" applyFont="1" applyFill="1" applyBorder="1"/>
    <xf numFmtId="174" fontId="1" fillId="10" borderId="9" xfId="0" applyNumberFormat="1" applyFont="1" applyFill="1" applyBorder="1"/>
    <xf numFmtId="0" fontId="1" fillId="10" borderId="2" xfId="0" applyFont="1" applyFill="1" applyBorder="1"/>
    <xf numFmtId="0" fontId="1" fillId="10" borderId="4" xfId="0" applyFont="1" applyFill="1" applyBorder="1"/>
    <xf numFmtId="2" fontId="1" fillId="0" borderId="0" xfId="0" applyNumberFormat="1" applyFont="1"/>
    <xf numFmtId="0" fontId="2" fillId="10" borderId="14" xfId="0" applyFont="1" applyFill="1" applyBorder="1"/>
    <xf numFmtId="2" fontId="2" fillId="10" borderId="14" xfId="0" applyNumberFormat="1" applyFont="1" applyFill="1" applyBorder="1"/>
    <xf numFmtId="0" fontId="2" fillId="10" borderId="2" xfId="0" applyFont="1" applyFill="1" applyBorder="1" applyAlignment="1">
      <alignment horizontal="right"/>
    </xf>
    <xf numFmtId="0" fontId="2" fillId="10" borderId="3" xfId="0" applyFont="1" applyFill="1" applyBorder="1" applyAlignment="1">
      <alignment horizontal="right"/>
    </xf>
    <xf numFmtId="0" fontId="2" fillId="10" borderId="4" xfId="0" applyFont="1" applyFill="1" applyBorder="1" applyAlignment="1">
      <alignment horizontal="right"/>
    </xf>
    <xf numFmtId="0" fontId="28" fillId="10" borderId="6" xfId="0" applyFont="1" applyFill="1" applyBorder="1"/>
    <xf numFmtId="0" fontId="28" fillId="10" borderId="7" xfId="0" applyFont="1" applyFill="1" applyBorder="1"/>
    <xf numFmtId="0" fontId="0" fillId="10" borderId="7" xfId="0" applyFont="1" applyFill="1" applyBorder="1"/>
    <xf numFmtId="0" fontId="3" fillId="10" borderId="35" xfId="0" applyFont="1" applyFill="1" applyBorder="1"/>
    <xf numFmtId="0" fontId="3" fillId="10" borderId="36" xfId="0" applyFont="1" applyFill="1" applyBorder="1"/>
    <xf numFmtId="0" fontId="3" fillId="10" borderId="39" xfId="0" applyFont="1" applyFill="1" applyBorder="1"/>
    <xf numFmtId="2" fontId="0" fillId="13" borderId="25" xfId="0" applyNumberFormat="1" applyFill="1" applyBorder="1" applyProtection="1">
      <protection locked="0"/>
    </xf>
    <xf numFmtId="0" fontId="0" fillId="10" borderId="1" xfId="0" applyFill="1" applyBorder="1"/>
    <xf numFmtId="0" fontId="0" fillId="10" borderId="14" xfId="0" applyFill="1" applyBorder="1"/>
    <xf numFmtId="2" fontId="0" fillId="10" borderId="14" xfId="0" applyNumberFormat="1" applyFill="1" applyBorder="1"/>
    <xf numFmtId="0" fontId="1" fillId="10" borderId="35" xfId="0" applyFont="1" applyFill="1" applyBorder="1"/>
    <xf numFmtId="0" fontId="0" fillId="10" borderId="36" xfId="0" applyFill="1" applyBorder="1"/>
    <xf numFmtId="0" fontId="0" fillId="10" borderId="39" xfId="0" applyFill="1" applyBorder="1"/>
    <xf numFmtId="0" fontId="0" fillId="10" borderId="25" xfId="0" applyFill="1" applyBorder="1"/>
    <xf numFmtId="0" fontId="1" fillId="10" borderId="26" xfId="0" applyFont="1" applyFill="1" applyBorder="1" applyAlignment="1">
      <alignment horizontal="right"/>
    </xf>
    <xf numFmtId="0" fontId="0" fillId="10" borderId="19" xfId="0" applyFill="1" applyBorder="1"/>
    <xf numFmtId="0" fontId="1" fillId="10" borderId="3" xfId="0" applyFont="1" applyFill="1" applyBorder="1"/>
    <xf numFmtId="0" fontId="2" fillId="13" borderId="11" xfId="0" applyFont="1" applyFill="1" applyBorder="1" applyProtection="1">
      <protection locked="0"/>
    </xf>
    <xf numFmtId="171" fontId="6" fillId="10" borderId="1" xfId="0" applyNumberFormat="1" applyFont="1" applyFill="1" applyBorder="1" applyProtection="1"/>
    <xf numFmtId="0" fontId="6" fillId="10" borderId="25" xfId="0" applyFont="1" applyFill="1" applyBorder="1" applyProtection="1"/>
    <xf numFmtId="0" fontId="6" fillId="13" borderId="1" xfId="0" applyFont="1" applyFill="1" applyBorder="1" applyProtection="1">
      <protection locked="0"/>
    </xf>
    <xf numFmtId="2" fontId="6" fillId="13" borderId="1" xfId="0" applyNumberFormat="1" applyFont="1" applyFill="1" applyBorder="1" applyProtection="1">
      <protection locked="0"/>
    </xf>
    <xf numFmtId="2" fontId="6" fillId="13" borderId="25" xfId="0" applyNumberFormat="1" applyFont="1" applyFill="1" applyBorder="1" applyProtection="1">
      <protection locked="0"/>
    </xf>
    <xf numFmtId="2" fontId="1" fillId="13" borderId="9" xfId="0" applyNumberFormat="1" applyFont="1" applyFill="1" applyBorder="1" applyProtection="1">
      <protection locked="0"/>
    </xf>
    <xf numFmtId="0" fontId="1" fillId="10" borderId="56" xfId="0" applyFont="1" applyFill="1" applyBorder="1"/>
    <xf numFmtId="0" fontId="1" fillId="10" borderId="51" xfId="0" applyFont="1" applyFill="1" applyBorder="1"/>
    <xf numFmtId="0" fontId="1" fillId="15" borderId="2" xfId="0" applyFont="1" applyFill="1" applyBorder="1"/>
    <xf numFmtId="0" fontId="2" fillId="13" borderId="11" xfId="0" applyFont="1" applyFill="1" applyBorder="1"/>
    <xf numFmtId="0" fontId="3" fillId="10" borderId="41" xfId="0" applyFont="1" applyFill="1" applyBorder="1"/>
    <xf numFmtId="0" fontId="3" fillId="10" borderId="44" xfId="0" applyFont="1" applyFill="1" applyBorder="1"/>
    <xf numFmtId="0" fontId="3" fillId="15" borderId="15" xfId="0" applyFont="1" applyFill="1" applyBorder="1"/>
    <xf numFmtId="0" fontId="16" fillId="10" borderId="5" xfId="0" applyFont="1" applyFill="1" applyBorder="1"/>
    <xf numFmtId="0" fontId="2" fillId="10" borderId="12" xfId="0" applyFont="1" applyFill="1" applyBorder="1" applyAlignment="1">
      <alignment horizontal="right" wrapText="1"/>
    </xf>
    <xf numFmtId="2" fontId="3" fillId="15" borderId="15" xfId="0" applyNumberFormat="1" applyFont="1" applyFill="1" applyBorder="1"/>
    <xf numFmtId="0" fontId="3" fillId="10" borderId="55" xfId="0" applyFont="1" applyFill="1" applyBorder="1"/>
    <xf numFmtId="0" fontId="3" fillId="15" borderId="39" xfId="0" applyFont="1" applyFill="1" applyBorder="1"/>
    <xf numFmtId="2" fontId="3" fillId="10" borderId="41" xfId="0" applyNumberFormat="1" applyFont="1" applyFill="1" applyBorder="1"/>
    <xf numFmtId="2" fontId="3" fillId="15" borderId="29" xfId="0" applyNumberFormat="1" applyFont="1" applyFill="1" applyBorder="1"/>
    <xf numFmtId="0" fontId="16" fillId="15" borderId="5" xfId="0" applyFont="1" applyFill="1" applyBorder="1"/>
    <xf numFmtId="0" fontId="0" fillId="15" borderId="7" xfId="0" applyFill="1" applyBorder="1"/>
    <xf numFmtId="0" fontId="2" fillId="15" borderId="12" xfId="0" applyFont="1" applyFill="1" applyBorder="1" applyAlignment="1">
      <alignment horizontal="right" wrapText="1"/>
    </xf>
    <xf numFmtId="0" fontId="2" fillId="15" borderId="4" xfId="0" applyFont="1" applyFill="1" applyBorder="1" applyAlignment="1">
      <alignment horizontal="right" wrapText="1"/>
    </xf>
    <xf numFmtId="0" fontId="3" fillId="15" borderId="55" xfId="0" applyFont="1" applyFill="1" applyBorder="1"/>
    <xf numFmtId="0" fontId="3" fillId="15" borderId="41" xfId="0" applyFont="1" applyFill="1" applyBorder="1"/>
    <xf numFmtId="0" fontId="3" fillId="15" borderId="44" xfId="0" applyFont="1" applyFill="1" applyBorder="1"/>
    <xf numFmtId="0" fontId="3" fillId="15" borderId="45" xfId="0" applyFont="1" applyFill="1" applyBorder="1"/>
    <xf numFmtId="0" fontId="3" fillId="10" borderId="45" xfId="0" applyFont="1" applyFill="1" applyBorder="1"/>
    <xf numFmtId="2" fontId="3" fillId="15" borderId="41" xfId="0" applyNumberFormat="1" applyFont="1" applyFill="1" applyBorder="1"/>
    <xf numFmtId="0" fontId="2" fillId="15" borderId="11" xfId="0" applyFont="1" applyFill="1" applyBorder="1" applyAlignment="1">
      <alignment horizontal="right" wrapText="1"/>
    </xf>
    <xf numFmtId="0" fontId="2" fillId="15" borderId="5" xfId="0" applyFont="1" applyFill="1" applyBorder="1"/>
    <xf numFmtId="0" fontId="2" fillId="15" borderId="6" xfId="0" applyFont="1" applyFill="1" applyBorder="1"/>
    <xf numFmtId="0" fontId="2" fillId="15" borderId="7" xfId="0" applyFont="1" applyFill="1" applyBorder="1"/>
    <xf numFmtId="0" fontId="2" fillId="15" borderId="11" xfId="0" applyFont="1" applyFill="1" applyBorder="1" applyAlignment="1">
      <alignment wrapText="1"/>
    </xf>
    <xf numFmtId="0" fontId="2" fillId="13" borderId="11" xfId="0" applyFont="1" applyFill="1" applyBorder="1" applyAlignment="1" applyProtection="1">
      <alignment wrapText="1"/>
      <protection locked="0"/>
    </xf>
    <xf numFmtId="2" fontId="2" fillId="15" borderId="11" xfId="0" applyNumberFormat="1" applyFont="1" applyFill="1" applyBorder="1"/>
    <xf numFmtId="10" fontId="2" fillId="15" borderId="11" xfId="0" applyNumberFormat="1" applyFont="1" applyFill="1" applyBorder="1"/>
    <xf numFmtId="0" fontId="0" fillId="15" borderId="6" xfId="0" applyFill="1" applyBorder="1"/>
    <xf numFmtId="2" fontId="2" fillId="15" borderId="5" xfId="0" applyNumberFormat="1" applyFont="1" applyFill="1" applyBorder="1"/>
    <xf numFmtId="0" fontId="0" fillId="15" borderId="31" xfId="0" applyFill="1" applyBorder="1"/>
    <xf numFmtId="0" fontId="0" fillId="15" borderId="32" xfId="0" applyFill="1" applyBorder="1"/>
    <xf numFmtId="0" fontId="0" fillId="15" borderId="10" xfId="0" applyFill="1" applyBorder="1"/>
    <xf numFmtId="0" fontId="0" fillId="15" borderId="9" xfId="0" applyFill="1" applyBorder="1"/>
    <xf numFmtId="0" fontId="1" fillId="15" borderId="5" xfId="0" applyFont="1" applyFill="1" applyBorder="1" applyAlignment="1">
      <alignment wrapText="1"/>
    </xf>
    <xf numFmtId="0" fontId="1" fillId="15" borderId="6" xfId="0" applyFont="1" applyFill="1" applyBorder="1" applyAlignment="1">
      <alignment wrapText="1"/>
    </xf>
    <xf numFmtId="2" fontId="0" fillId="15" borderId="11" xfId="0" applyNumberFormat="1" applyFill="1" applyBorder="1"/>
    <xf numFmtId="2" fontId="3" fillId="15" borderId="44" xfId="0" applyNumberFormat="1" applyFont="1" applyFill="1" applyBorder="1"/>
    <xf numFmtId="2" fontId="3" fillId="15" borderId="45" xfId="0" applyNumberFormat="1" applyFont="1" applyFill="1" applyBorder="1"/>
    <xf numFmtId="1" fontId="3" fillId="10" borderId="41" xfId="0" applyNumberFormat="1" applyFont="1" applyFill="1" applyBorder="1"/>
    <xf numFmtId="1" fontId="3" fillId="10" borderId="44" xfId="0" applyNumberFormat="1" applyFont="1" applyFill="1" applyBorder="1"/>
    <xf numFmtId="1" fontId="3" fillId="15" borderId="41" xfId="0" applyNumberFormat="1" applyFont="1" applyFill="1" applyBorder="1"/>
    <xf numFmtId="1" fontId="3" fillId="15" borderId="44" xfId="0" applyNumberFormat="1" applyFont="1" applyFill="1" applyBorder="1"/>
    <xf numFmtId="1" fontId="3" fillId="15" borderId="12" xfId="0" applyNumberFormat="1" applyFont="1" applyFill="1" applyBorder="1"/>
    <xf numFmtId="0" fontId="7" fillId="15" borderId="11" xfId="0" applyFont="1" applyFill="1" applyBorder="1" applyAlignment="1">
      <alignment horizontal="right" wrapText="1"/>
    </xf>
    <xf numFmtId="0" fontId="16" fillId="15" borderId="6" xfId="0" applyFont="1" applyFill="1" applyBorder="1"/>
    <xf numFmtId="1" fontId="7" fillId="15" borderId="55" xfId="0" applyNumberFormat="1" applyFont="1" applyFill="1" applyBorder="1"/>
    <xf numFmtId="1" fontId="7" fillId="15" borderId="41" xfId="0" applyNumberFormat="1" applyFont="1" applyFill="1" applyBorder="1"/>
    <xf numFmtId="0" fontId="3" fillId="10" borderId="15" xfId="0" applyFont="1" applyFill="1" applyBorder="1" applyAlignment="1">
      <alignment horizontal="right"/>
    </xf>
    <xf numFmtId="0" fontId="3" fillId="10" borderId="17" xfId="0" applyFont="1" applyFill="1" applyBorder="1" applyAlignment="1">
      <alignment horizontal="right"/>
    </xf>
    <xf numFmtId="0" fontId="2" fillId="10" borderId="13" xfId="0" applyFont="1" applyFill="1" applyBorder="1"/>
    <xf numFmtId="0" fontId="3" fillId="10" borderId="26" xfId="0" applyFont="1" applyFill="1" applyBorder="1" applyAlignment="1">
      <alignment horizontal="right"/>
    </xf>
    <xf numFmtId="171" fontId="3" fillId="10" borderId="7" xfId="0" applyNumberFormat="1" applyFont="1" applyFill="1" applyBorder="1"/>
    <xf numFmtId="2" fontId="3" fillId="10" borderId="15" xfId="0" applyNumberFormat="1" applyFont="1" applyFill="1" applyBorder="1"/>
    <xf numFmtId="0" fontId="3" fillId="10" borderId="18" xfId="0" applyFont="1" applyFill="1" applyBorder="1"/>
    <xf numFmtId="0" fontId="3" fillId="10" borderId="20" xfId="0" applyFont="1" applyFill="1" applyBorder="1"/>
    <xf numFmtId="2" fontId="3" fillId="10" borderId="20" xfId="0" applyNumberFormat="1" applyFont="1" applyFill="1" applyBorder="1"/>
    <xf numFmtId="0" fontId="3" fillId="10" borderId="39" xfId="0" applyFont="1" applyFill="1" applyBorder="1" applyAlignment="1">
      <alignment horizontal="right"/>
    </xf>
    <xf numFmtId="2" fontId="3" fillId="10" borderId="39" xfId="0" applyNumberFormat="1" applyFont="1" applyFill="1" applyBorder="1"/>
    <xf numFmtId="0" fontId="3" fillId="10" borderId="60" xfId="0" applyFont="1" applyFill="1" applyBorder="1"/>
    <xf numFmtId="2" fontId="3" fillId="10" borderId="19" xfId="0" applyNumberFormat="1" applyFont="1" applyFill="1" applyBorder="1"/>
    <xf numFmtId="2" fontId="3" fillId="15" borderId="54" xfId="0" applyNumberFormat="1" applyFont="1" applyFill="1" applyBorder="1"/>
    <xf numFmtId="2" fontId="3" fillId="15" borderId="23" xfId="0" applyNumberFormat="1" applyFont="1" applyFill="1" applyBorder="1"/>
    <xf numFmtId="2" fontId="3" fillId="10" borderId="54" xfId="0" applyNumberFormat="1" applyFont="1" applyFill="1" applyBorder="1"/>
    <xf numFmtId="1" fontId="3" fillId="10" borderId="61" xfId="0" applyNumberFormat="1" applyFont="1" applyFill="1" applyBorder="1"/>
    <xf numFmtId="0" fontId="1" fillId="15" borderId="56" xfId="0" applyFont="1" applyFill="1" applyBorder="1"/>
    <xf numFmtId="0" fontId="2" fillId="15" borderId="7" xfId="0" applyFont="1" applyFill="1" applyBorder="1" applyAlignment="1">
      <alignment wrapText="1"/>
    </xf>
    <xf numFmtId="0" fontId="2" fillId="13" borderId="31" xfId="0" applyFont="1" applyFill="1" applyBorder="1" applyAlignment="1">
      <alignment wrapText="1"/>
    </xf>
    <xf numFmtId="2" fontId="3" fillId="10" borderId="36" xfId="0" applyNumberFormat="1" applyFont="1" applyFill="1" applyBorder="1"/>
    <xf numFmtId="0" fontId="3" fillId="13" borderId="36" xfId="0" applyFont="1" applyFill="1" applyBorder="1"/>
    <xf numFmtId="2" fontId="3" fillId="10" borderId="36" xfId="0" quotePrefix="1" applyNumberFormat="1" applyFont="1" applyFill="1" applyBorder="1"/>
    <xf numFmtId="2" fontId="3" fillId="10" borderId="39" xfId="0" quotePrefix="1" applyNumberFormat="1" applyFont="1" applyFill="1" applyBorder="1"/>
    <xf numFmtId="2" fontId="3" fillId="10" borderId="17" xfId="0" quotePrefix="1" applyNumberFormat="1" applyFont="1" applyFill="1" applyBorder="1"/>
    <xf numFmtId="2" fontId="3" fillId="10" borderId="26" xfId="0" quotePrefix="1" applyNumberFormat="1" applyFont="1" applyFill="1" applyBorder="1"/>
    <xf numFmtId="0" fontId="2" fillId="16" borderId="2" xfId="0" applyFont="1" applyFill="1" applyBorder="1"/>
    <xf numFmtId="0" fontId="2" fillId="16" borderId="3" xfId="0" applyFont="1" applyFill="1" applyBorder="1" applyAlignment="1">
      <alignment horizontal="right"/>
    </xf>
    <xf numFmtId="0" fontId="2" fillId="16" borderId="4" xfId="0" applyFont="1" applyFill="1" applyBorder="1" applyAlignment="1">
      <alignment horizontal="right"/>
    </xf>
    <xf numFmtId="0" fontId="2" fillId="16" borderId="13" xfId="0" applyFont="1" applyFill="1" applyBorder="1"/>
    <xf numFmtId="0" fontId="3" fillId="16" borderId="15" xfId="0" applyFont="1" applyFill="1" applyBorder="1" applyAlignment="1">
      <alignment horizontal="right"/>
    </xf>
    <xf numFmtId="2" fontId="3" fillId="16" borderId="15" xfId="0" applyNumberFormat="1" applyFont="1" applyFill="1" applyBorder="1"/>
    <xf numFmtId="0" fontId="3" fillId="16" borderId="16" xfId="0" applyFont="1" applyFill="1" applyBorder="1"/>
    <xf numFmtId="0" fontId="3" fillId="16" borderId="17" xfId="0" applyFont="1" applyFill="1" applyBorder="1" applyAlignment="1">
      <alignment horizontal="right"/>
    </xf>
    <xf numFmtId="0" fontId="3" fillId="16" borderId="18" xfId="0" applyFont="1" applyFill="1" applyBorder="1"/>
    <xf numFmtId="0" fontId="3" fillId="16" borderId="20" xfId="0" applyFont="1" applyFill="1" applyBorder="1"/>
    <xf numFmtId="2" fontId="3" fillId="16" borderId="20" xfId="0" applyNumberFormat="1" applyFont="1" applyFill="1" applyBorder="1"/>
    <xf numFmtId="0" fontId="2" fillId="16" borderId="35" xfId="0" applyFont="1" applyFill="1" applyBorder="1"/>
    <xf numFmtId="0" fontId="3" fillId="16" borderId="39" xfId="0" applyFont="1" applyFill="1" applyBorder="1" applyAlignment="1">
      <alignment horizontal="right"/>
    </xf>
    <xf numFmtId="0" fontId="3" fillId="16" borderId="24" xfId="0" applyFont="1" applyFill="1" applyBorder="1"/>
    <xf numFmtId="0" fontId="3" fillId="16" borderId="26" xfId="0" applyFont="1" applyFill="1" applyBorder="1" applyAlignment="1">
      <alignment horizontal="right"/>
    </xf>
    <xf numFmtId="2" fontId="3" fillId="16" borderId="17" xfId="0" applyNumberFormat="1" applyFont="1" applyFill="1" applyBorder="1"/>
    <xf numFmtId="2" fontId="3" fillId="16" borderId="39" xfId="0" applyNumberFormat="1" applyFont="1" applyFill="1" applyBorder="1"/>
    <xf numFmtId="2" fontId="3" fillId="16" borderId="26" xfId="0" applyNumberFormat="1" applyFont="1" applyFill="1" applyBorder="1"/>
    <xf numFmtId="1" fontId="7" fillId="15" borderId="12" xfId="0" applyNumberFormat="1" applyFont="1" applyFill="1" applyBorder="1"/>
    <xf numFmtId="0" fontId="0" fillId="15" borderId="11" xfId="0" applyFill="1" applyBorder="1"/>
    <xf numFmtId="0" fontId="2" fillId="15" borderId="5" xfId="0" applyFont="1" applyFill="1" applyBorder="1" applyAlignment="1">
      <alignment horizontal="right" wrapText="1"/>
    </xf>
    <xf numFmtId="0" fontId="3" fillId="15" borderId="57" xfId="0" applyFont="1" applyFill="1" applyBorder="1"/>
    <xf numFmtId="0" fontId="3" fillId="15" borderId="58" xfId="0" applyFont="1" applyFill="1" applyBorder="1"/>
    <xf numFmtId="0" fontId="3" fillId="15" borderId="59" xfId="0" applyFont="1" applyFill="1" applyBorder="1"/>
    <xf numFmtId="0" fontId="3" fillId="15" borderId="62" xfId="0" applyFont="1" applyFill="1" applyBorder="1"/>
    <xf numFmtId="0" fontId="2" fillId="10" borderId="11" xfId="0" applyFont="1" applyFill="1" applyBorder="1" applyAlignment="1">
      <alignment wrapText="1"/>
    </xf>
    <xf numFmtId="2" fontId="21" fillId="10" borderId="1" xfId="0" applyNumberFormat="1" applyFont="1" applyFill="1" applyBorder="1"/>
    <xf numFmtId="0" fontId="3" fillId="10" borderId="35" xfId="0" quotePrefix="1" applyFont="1" applyFill="1" applyBorder="1"/>
    <xf numFmtId="2" fontId="21" fillId="10" borderId="17" xfId="0" applyNumberFormat="1" applyFont="1" applyFill="1" applyBorder="1"/>
    <xf numFmtId="0" fontId="2" fillId="10" borderId="5" xfId="0" applyFont="1" applyFill="1" applyBorder="1" applyAlignment="1">
      <alignment horizontal="right" wrapText="1"/>
    </xf>
    <xf numFmtId="0" fontId="3" fillId="10" borderId="57" xfId="0" applyFont="1" applyFill="1" applyBorder="1"/>
    <xf numFmtId="0" fontId="3" fillId="10" borderId="58" xfId="0" applyFont="1" applyFill="1" applyBorder="1"/>
    <xf numFmtId="0" fontId="3" fillId="10" borderId="59" xfId="0" applyFont="1" applyFill="1" applyBorder="1"/>
    <xf numFmtId="166" fontId="3" fillId="10" borderId="55" xfId="0" applyNumberFormat="1" applyFont="1" applyFill="1" applyBorder="1"/>
    <xf numFmtId="166" fontId="3" fillId="10" borderId="44" xfId="0" applyNumberFormat="1" applyFont="1" applyFill="1" applyBorder="1"/>
    <xf numFmtId="166" fontId="3" fillId="10" borderId="45" xfId="0" applyNumberFormat="1" applyFont="1" applyFill="1" applyBorder="1"/>
    <xf numFmtId="0" fontId="7" fillId="10" borderId="11" xfId="0" applyFont="1" applyFill="1" applyBorder="1"/>
  </cellXfs>
  <cellStyles count="3">
    <cellStyle name="Excel Built-in Normal" xfId="1" xr:uid="{8933BF58-17FE-F445-96AB-6C214DAE1A35}"/>
    <cellStyle name="Excel Built-in Normal 1" xfId="2" xr:uid="{FF026BB8-A01B-CC46-90CC-F22FC5BE4B2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000" b="1">
                <a:solidFill>
                  <a:srgbClr val="FF0000"/>
                </a:solidFill>
              </a:rPr>
              <a:t>Cumulative Volume Growth of 6 White Pine Size</a:t>
            </a:r>
            <a:r>
              <a:rPr lang="en-US" sz="2000" b="1" baseline="0">
                <a:solidFill>
                  <a:srgbClr val="FF0000"/>
                </a:solidFill>
              </a:rPr>
              <a:t> Classes </a:t>
            </a:r>
            <a:r>
              <a:rPr lang="en-US" sz="2000" b="1">
                <a:solidFill>
                  <a:srgbClr val="FF0000"/>
                </a:solidFill>
              </a:rPr>
              <a:t>Over 200 Years at 20-Yr Intervals  -</a:t>
            </a:r>
            <a:r>
              <a:rPr lang="en-US" sz="2000" b="1" baseline="0">
                <a:solidFill>
                  <a:srgbClr val="FF0000"/>
                </a:solidFill>
              </a:rPr>
              <a:t> </a:t>
            </a:r>
            <a:r>
              <a:rPr lang="en-US" sz="2000" b="1">
                <a:solidFill>
                  <a:srgbClr val="FF0000"/>
                </a:solidFill>
              </a:rPr>
              <a:t>Same Stand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6876064685462714E-2"/>
          <c:y val="2.8796070884354569E-2"/>
          <c:w val="0.94660353907374484"/>
          <c:h val="0.85747704169773242"/>
        </c:manualLayout>
      </c:layout>
      <c:scatterChart>
        <c:scatterStyle val="smoothMarker"/>
        <c:varyColors val="0"/>
        <c:ser>
          <c:idx val="0"/>
          <c:order val="0"/>
          <c:tx>
            <c:strRef>
              <c:f>Constructions!$BC$3</c:f>
              <c:strCache>
                <c:ptCount val="1"/>
                <c:pt idx="0">
                  <c:v>Tree#1 </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Constructions!$BC$4:$BC$14</c:f>
              <c:numCache>
                <c:formatCode>General</c:formatCode>
                <c:ptCount val="11"/>
                <c:pt idx="0">
                  <c:v>0</c:v>
                </c:pt>
                <c:pt idx="1">
                  <c:v>0.7592182246175333</c:v>
                </c:pt>
                <c:pt idx="2">
                  <c:v>10.676506283684063</c:v>
                </c:pt>
                <c:pt idx="3">
                  <c:v>31.181092485042093</c:v>
                </c:pt>
                <c:pt idx="4">
                  <c:v>52.914473382943612</c:v>
                </c:pt>
                <c:pt idx="5">
                  <c:v>74.738201249574615</c:v>
                </c:pt>
                <c:pt idx="6">
                  <c:v>94.166785422093426</c:v>
                </c:pt>
                <c:pt idx="7">
                  <c:v>110.23848621446582</c:v>
                </c:pt>
                <c:pt idx="8">
                  <c:v>123.33500058911831</c:v>
                </c:pt>
                <c:pt idx="9">
                  <c:v>132.50996302906506</c:v>
                </c:pt>
                <c:pt idx="10">
                  <c:v>138.42284946466447</c:v>
                </c:pt>
              </c:numCache>
            </c:numRef>
          </c:yVal>
          <c:smooth val="1"/>
          <c:extLst>
            <c:ext xmlns:c16="http://schemas.microsoft.com/office/drawing/2014/chart" uri="{C3380CC4-5D6E-409C-BE32-E72D297353CC}">
              <c16:uniqueId val="{00000000-0BAE-7443-A158-B1E6ADFD0A97}"/>
            </c:ext>
          </c:extLst>
        </c:ser>
        <c:ser>
          <c:idx val="1"/>
          <c:order val="1"/>
          <c:tx>
            <c:strRef>
              <c:f>Constructions!$BD$3</c:f>
              <c:strCache>
                <c:ptCount val="1"/>
                <c:pt idx="0">
                  <c:v>Tree #2 </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Constructions!$BD$4:$BD$14</c:f>
              <c:numCache>
                <c:formatCode>General</c:formatCode>
                <c:ptCount val="11"/>
                <c:pt idx="0">
                  <c:v>0</c:v>
                </c:pt>
                <c:pt idx="1">
                  <c:v>1.0932742434492477</c:v>
                </c:pt>
                <c:pt idx="2">
                  <c:v>17.881107626192147</c:v>
                </c:pt>
                <c:pt idx="3">
                  <c:v>45.565240968645888</c:v>
                </c:pt>
                <c:pt idx="4">
                  <c:v>84.127453033419641</c:v>
                </c:pt>
                <c:pt idx="5">
                  <c:v>117.52698117079416</c:v>
                </c:pt>
                <c:pt idx="6">
                  <c:v>146.15861885757059</c:v>
                </c:pt>
                <c:pt idx="7">
                  <c:v>170.40653051540534</c:v>
                </c:pt>
                <c:pt idx="8">
                  <c:v>187.96117430501201</c:v>
                </c:pt>
                <c:pt idx="9">
                  <c:v>199.99573218798068</c:v>
                </c:pt>
                <c:pt idx="10">
                  <c:v>207.65026523085268</c:v>
                </c:pt>
              </c:numCache>
            </c:numRef>
          </c:yVal>
          <c:smooth val="1"/>
          <c:extLst>
            <c:ext xmlns:c16="http://schemas.microsoft.com/office/drawing/2014/chart" uri="{C3380CC4-5D6E-409C-BE32-E72D297353CC}">
              <c16:uniqueId val="{00000001-0BAE-7443-A158-B1E6ADFD0A97}"/>
            </c:ext>
          </c:extLst>
        </c:ser>
        <c:ser>
          <c:idx val="2"/>
          <c:order val="2"/>
          <c:tx>
            <c:strRef>
              <c:f>Constructions!$BE$3</c:f>
              <c:strCache>
                <c:ptCount val="1"/>
                <c:pt idx="0">
                  <c:v>Tree #3 </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Constructions!$BE$4:$BE$14</c:f>
              <c:numCache>
                <c:formatCode>General</c:formatCode>
                <c:ptCount val="11"/>
                <c:pt idx="0">
                  <c:v>0</c:v>
                </c:pt>
                <c:pt idx="1">
                  <c:v>1.2026016677941727</c:v>
                </c:pt>
                <c:pt idx="2">
                  <c:v>25.655502246275688</c:v>
                </c:pt>
                <c:pt idx="3">
                  <c:v>63.203398762960425</c:v>
                </c:pt>
                <c:pt idx="4">
                  <c:v>112.90789749222111</c:v>
                </c:pt>
                <c:pt idx="5">
                  <c:v>163.43235190406872</c:v>
                </c:pt>
                <c:pt idx="6">
                  <c:v>210.63750423788844</c:v>
                </c:pt>
                <c:pt idx="7">
                  <c:v>254.89005689617056</c:v>
                </c:pt>
                <c:pt idx="8">
                  <c:v>297.09272034798545</c:v>
                </c:pt>
                <c:pt idx="9">
                  <c:v>321.49608193731063</c:v>
                </c:pt>
                <c:pt idx="10">
                  <c:v>336.23307709080535</c:v>
                </c:pt>
              </c:numCache>
            </c:numRef>
          </c:yVal>
          <c:smooth val="1"/>
          <c:extLst>
            <c:ext xmlns:c16="http://schemas.microsoft.com/office/drawing/2014/chart" uri="{C3380CC4-5D6E-409C-BE32-E72D297353CC}">
              <c16:uniqueId val="{00000002-0BAE-7443-A158-B1E6ADFD0A97}"/>
            </c:ext>
          </c:extLst>
        </c:ser>
        <c:ser>
          <c:idx val="3"/>
          <c:order val="3"/>
          <c:tx>
            <c:strRef>
              <c:f>Constructions!$BF$3</c:f>
              <c:strCache>
                <c:ptCount val="1"/>
                <c:pt idx="0">
                  <c:v>Tree #4 </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Constructions!$BF$4:$BF$14</c:f>
              <c:numCache>
                <c:formatCode>General</c:formatCode>
                <c:ptCount val="11"/>
                <c:pt idx="0">
                  <c:v>0</c:v>
                </c:pt>
                <c:pt idx="1">
                  <c:v>2.2351384532740184</c:v>
                </c:pt>
                <c:pt idx="2">
                  <c:v>38.684825808049489</c:v>
                </c:pt>
                <c:pt idx="3">
                  <c:v>100.7315556058051</c:v>
                </c:pt>
                <c:pt idx="4">
                  <c:v>171.61178944698565</c:v>
                </c:pt>
                <c:pt idx="5">
                  <c:v>243.21252138332835</c:v>
                </c:pt>
                <c:pt idx="6">
                  <c:v>296.14255873987656</c:v>
                </c:pt>
                <c:pt idx="7">
                  <c:v>345.19678705975247</c:v>
                </c:pt>
                <c:pt idx="8">
                  <c:v>387.44728125971818</c:v>
                </c:pt>
                <c:pt idx="9">
                  <c:v>409.79989952207342</c:v>
                </c:pt>
                <c:pt idx="10">
                  <c:v>427.5721305097415</c:v>
                </c:pt>
              </c:numCache>
            </c:numRef>
          </c:yVal>
          <c:smooth val="1"/>
          <c:extLst>
            <c:ext xmlns:c16="http://schemas.microsoft.com/office/drawing/2014/chart" uri="{C3380CC4-5D6E-409C-BE32-E72D297353CC}">
              <c16:uniqueId val="{00000003-0BAE-7443-A158-B1E6ADFD0A97}"/>
            </c:ext>
          </c:extLst>
        </c:ser>
        <c:ser>
          <c:idx val="4"/>
          <c:order val="4"/>
          <c:tx>
            <c:strRef>
              <c:f>Constructions!$BG$3</c:f>
              <c:strCache>
                <c:ptCount val="1"/>
                <c:pt idx="0">
                  <c:v>Tree #5 </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Constructions!$BG$4:$BG$14</c:f>
              <c:numCache>
                <c:formatCode>General</c:formatCode>
                <c:ptCount val="11"/>
                <c:pt idx="0">
                  <c:v>0</c:v>
                </c:pt>
                <c:pt idx="1">
                  <c:v>3.4924038332406533</c:v>
                </c:pt>
                <c:pt idx="2">
                  <c:v>59.474118843639111</c:v>
                </c:pt>
                <c:pt idx="3">
                  <c:v>161.48875324904785</c:v>
                </c:pt>
                <c:pt idx="4">
                  <c:v>276.00084088897461</c:v>
                </c:pt>
                <c:pt idx="5">
                  <c:v>398.70228905401399</c:v>
                </c:pt>
                <c:pt idx="6">
                  <c:v>517.20507442845349</c:v>
                </c:pt>
                <c:pt idx="7">
                  <c:v>615.77151427784111</c:v>
                </c:pt>
                <c:pt idx="8">
                  <c:v>680.41301281359858</c:v>
                </c:pt>
                <c:pt idx="9">
                  <c:v>721.28233721934009</c:v>
                </c:pt>
                <c:pt idx="10">
                  <c:v>756.35897841489475</c:v>
                </c:pt>
              </c:numCache>
            </c:numRef>
          </c:yVal>
          <c:smooth val="1"/>
          <c:extLst>
            <c:ext xmlns:c16="http://schemas.microsoft.com/office/drawing/2014/chart" uri="{C3380CC4-5D6E-409C-BE32-E72D297353CC}">
              <c16:uniqueId val="{00000004-0BAE-7443-A158-B1E6ADFD0A97}"/>
            </c:ext>
          </c:extLst>
        </c:ser>
        <c:ser>
          <c:idx val="5"/>
          <c:order val="5"/>
          <c:tx>
            <c:strRef>
              <c:f>Constructions!$BH$3</c:f>
              <c:strCache>
                <c:ptCount val="1"/>
                <c:pt idx="0">
                  <c:v>Tree #6 </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Constructions!$BB$4:$BB$14</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Constructions!$BH$4:$BH$14</c:f>
              <c:numCache>
                <c:formatCode>General</c:formatCode>
                <c:ptCount val="11"/>
                <c:pt idx="0">
                  <c:v>0</c:v>
                </c:pt>
                <c:pt idx="1">
                  <c:v>1.8790651059283947</c:v>
                </c:pt>
                <c:pt idx="2">
                  <c:v>58.421842384319191</c:v>
                </c:pt>
                <c:pt idx="3">
                  <c:v>161.98869844995841</c:v>
                </c:pt>
                <c:pt idx="4">
                  <c:v>302.29459891623054</c:v>
                </c:pt>
                <c:pt idx="5">
                  <c:v>448.80236325484708</c:v>
                </c:pt>
                <c:pt idx="6">
                  <c:v>598.48223623819376</c:v>
                </c:pt>
                <c:pt idx="7">
                  <c:v>731.93154201566711</c:v>
                </c:pt>
                <c:pt idx="8">
                  <c:v>829.85133292660112</c:v>
                </c:pt>
                <c:pt idx="9">
                  <c:v>885.58630201399876</c:v>
                </c:pt>
                <c:pt idx="10">
                  <c:v>926.60501209566155</c:v>
                </c:pt>
              </c:numCache>
            </c:numRef>
          </c:yVal>
          <c:smooth val="1"/>
          <c:extLst>
            <c:ext xmlns:c16="http://schemas.microsoft.com/office/drawing/2014/chart" uri="{C3380CC4-5D6E-409C-BE32-E72D297353CC}">
              <c16:uniqueId val="{00000005-0BAE-7443-A158-B1E6ADFD0A97}"/>
            </c:ext>
          </c:extLst>
        </c:ser>
        <c:dLbls>
          <c:showLegendKey val="0"/>
          <c:showVal val="0"/>
          <c:showCatName val="0"/>
          <c:showSerName val="0"/>
          <c:showPercent val="0"/>
          <c:showBubbleSize val="0"/>
        </c:dLbls>
        <c:axId val="178908016"/>
        <c:axId val="150481808"/>
      </c:scatterChart>
      <c:valAx>
        <c:axId val="178908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crossAx val="150481808"/>
        <c:crosses val="autoZero"/>
        <c:crossBetween val="midCat"/>
      </c:valAx>
      <c:valAx>
        <c:axId val="1504818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crossAx val="178908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t>Cumulative live above ground WP carbon - short tons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339311317428605E-2"/>
          <c:y val="8.0924444444444438E-2"/>
          <c:w val="0.90456963215418973"/>
          <c:h val="0.89677340332458444"/>
        </c:manualLayout>
      </c:layout>
      <c:scatterChart>
        <c:scatterStyle val="smoothMarker"/>
        <c:varyColors val="0"/>
        <c:ser>
          <c:idx val="0"/>
          <c:order val="0"/>
          <c:tx>
            <c:strRef>
              <c:f>Constructions!$AZ$17</c:f>
              <c:strCache>
                <c:ptCount val="1"/>
                <c:pt idx="0">
                  <c:v>Cumulative stand carbon - all species</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Constructions!$AY$18:$AY$28</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xVal>
          <c:yVal>
            <c:numRef>
              <c:f>Constructions!$AZ$18:$AZ$28</c:f>
              <c:numCache>
                <c:formatCode>0.00</c:formatCode>
                <c:ptCount val="11"/>
                <c:pt idx="0" formatCode="General">
                  <c:v>0</c:v>
                </c:pt>
                <c:pt idx="1">
                  <c:v>1.9315413205911778</c:v>
                </c:pt>
                <c:pt idx="2">
                  <c:v>26.306743261733398</c:v>
                </c:pt>
                <c:pt idx="3">
                  <c:v>56.129974214429922</c:v>
                </c:pt>
                <c:pt idx="4">
                  <c:v>84.311357697102153</c:v>
                </c:pt>
                <c:pt idx="5">
                  <c:v>103.16177862352926</c:v>
                </c:pt>
                <c:pt idx="6">
                  <c:v>114.36000722432198</c:v>
                </c:pt>
                <c:pt idx="7">
                  <c:v>125.01040665960068</c:v>
                </c:pt>
                <c:pt idx="8">
                  <c:v>124.05366091566879</c:v>
                </c:pt>
                <c:pt idx="9">
                  <c:v>113.72987200066594</c:v>
                </c:pt>
                <c:pt idx="10">
                  <c:v>110.86319789494696</c:v>
                </c:pt>
              </c:numCache>
            </c:numRef>
          </c:yVal>
          <c:smooth val="1"/>
          <c:extLst>
            <c:ext xmlns:c16="http://schemas.microsoft.com/office/drawing/2014/chart" uri="{C3380CC4-5D6E-409C-BE32-E72D297353CC}">
              <c16:uniqueId val="{00000000-4C0E-9249-A046-C64CDA50C8E3}"/>
            </c:ext>
          </c:extLst>
        </c:ser>
        <c:dLbls>
          <c:showLegendKey val="0"/>
          <c:showVal val="0"/>
          <c:showCatName val="0"/>
          <c:showSerName val="0"/>
          <c:showPercent val="0"/>
          <c:showBubbleSize val="0"/>
        </c:dLbls>
        <c:axId val="178861456"/>
        <c:axId val="182248288"/>
      </c:scatterChart>
      <c:valAx>
        <c:axId val="1788614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crossAx val="182248288"/>
        <c:crosses val="autoZero"/>
        <c:crossBetween val="midCat"/>
      </c:valAx>
      <c:valAx>
        <c:axId val="1822482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crossAx val="1788614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t>Cumulative stand carbon - live above ground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3651621012162207E-2"/>
          <c:y val="1.7933956602532122E-2"/>
          <c:w val="0.91130925535716489"/>
          <c:h val="0.84953746484168813"/>
        </c:manualLayout>
      </c:layout>
      <c:barChart>
        <c:barDir val="col"/>
        <c:grouping val="clustered"/>
        <c:varyColors val="0"/>
        <c:ser>
          <c:idx val="0"/>
          <c:order val="0"/>
          <c:tx>
            <c:strRef>
              <c:f>Constructions!$AZ$17</c:f>
              <c:strCache>
                <c:ptCount val="1"/>
                <c:pt idx="0">
                  <c:v>Cumulative stand carbon - all species</c:v>
                </c:pt>
              </c:strCache>
            </c:strRef>
          </c:tx>
          <c:spPr>
            <a:solidFill>
              <a:schemeClr val="accent1"/>
            </a:solidFill>
            <a:ln>
              <a:noFill/>
            </a:ln>
            <a:effectLst/>
          </c:spPr>
          <c:invertIfNegative val="0"/>
          <c:cat>
            <c:numRef>
              <c:f>Constructions!$AY$18:$AY$28</c:f>
              <c:numCache>
                <c:formatCode>General</c:formatCode>
                <c:ptCount val="11"/>
                <c:pt idx="0">
                  <c:v>0</c:v>
                </c:pt>
                <c:pt idx="1">
                  <c:v>20</c:v>
                </c:pt>
                <c:pt idx="2">
                  <c:v>40</c:v>
                </c:pt>
                <c:pt idx="3">
                  <c:v>60</c:v>
                </c:pt>
                <c:pt idx="4">
                  <c:v>80</c:v>
                </c:pt>
                <c:pt idx="5">
                  <c:v>100</c:v>
                </c:pt>
                <c:pt idx="6">
                  <c:v>120</c:v>
                </c:pt>
                <c:pt idx="7">
                  <c:v>140</c:v>
                </c:pt>
                <c:pt idx="8">
                  <c:v>160</c:v>
                </c:pt>
                <c:pt idx="9">
                  <c:v>180</c:v>
                </c:pt>
                <c:pt idx="10">
                  <c:v>200</c:v>
                </c:pt>
              </c:numCache>
            </c:numRef>
          </c:cat>
          <c:val>
            <c:numRef>
              <c:f>Constructions!$AZ$18:$AZ$28</c:f>
              <c:numCache>
                <c:formatCode>0.00</c:formatCode>
                <c:ptCount val="11"/>
                <c:pt idx="0" formatCode="General">
                  <c:v>0</c:v>
                </c:pt>
                <c:pt idx="1">
                  <c:v>1.9315413205911778</c:v>
                </c:pt>
                <c:pt idx="2">
                  <c:v>26.306743261733398</c:v>
                </c:pt>
                <c:pt idx="3">
                  <c:v>56.129974214429922</c:v>
                </c:pt>
                <c:pt idx="4">
                  <c:v>84.311357697102153</c:v>
                </c:pt>
                <c:pt idx="5">
                  <c:v>103.16177862352926</c:v>
                </c:pt>
                <c:pt idx="6">
                  <c:v>114.36000722432198</c:v>
                </c:pt>
                <c:pt idx="7">
                  <c:v>125.01040665960068</c:v>
                </c:pt>
                <c:pt idx="8">
                  <c:v>124.05366091566879</c:v>
                </c:pt>
                <c:pt idx="9">
                  <c:v>113.72987200066594</c:v>
                </c:pt>
                <c:pt idx="10">
                  <c:v>110.86319789494696</c:v>
                </c:pt>
              </c:numCache>
            </c:numRef>
          </c:val>
          <c:extLst>
            <c:ext xmlns:c16="http://schemas.microsoft.com/office/drawing/2014/chart" uri="{C3380CC4-5D6E-409C-BE32-E72D297353CC}">
              <c16:uniqueId val="{00000000-C4BB-0344-AC2E-98674CE7A606}"/>
            </c:ext>
          </c:extLst>
        </c:ser>
        <c:dLbls>
          <c:showLegendKey val="0"/>
          <c:showVal val="0"/>
          <c:showCatName val="0"/>
          <c:showSerName val="0"/>
          <c:showPercent val="0"/>
          <c:showBubbleSize val="0"/>
        </c:dLbls>
        <c:gapWidth val="219"/>
        <c:overlap val="-27"/>
        <c:axId val="882928847"/>
        <c:axId val="857689503"/>
      </c:barChart>
      <c:catAx>
        <c:axId val="8829288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crossAx val="857689503"/>
        <c:crosses val="autoZero"/>
        <c:auto val="1"/>
        <c:lblAlgn val="ctr"/>
        <c:lblOffset val="100"/>
        <c:noMultiLvlLbl val="0"/>
      </c:catAx>
      <c:valAx>
        <c:axId val="857689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crossAx val="8829288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685800</xdr:colOff>
      <xdr:row>4</xdr:row>
      <xdr:rowOff>152400</xdr:rowOff>
    </xdr:from>
    <xdr:to>
      <xdr:col>22</xdr:col>
      <xdr:colOff>63500</xdr:colOff>
      <xdr:row>56</xdr:row>
      <xdr:rowOff>12700</xdr:rowOff>
    </xdr:to>
    <xdr:sp macro="" textlink="">
      <xdr:nvSpPr>
        <xdr:cNvPr id="2" name="TextBox 1">
          <a:extLst>
            <a:ext uri="{FF2B5EF4-FFF2-40B4-BE49-F238E27FC236}">
              <a16:creationId xmlns:a16="http://schemas.microsoft.com/office/drawing/2014/main" id="{1F17982C-1B0E-EA45-8C48-522F4C215FC5}"/>
            </a:ext>
          </a:extLst>
        </xdr:cNvPr>
        <xdr:cNvSpPr txBox="1"/>
      </xdr:nvSpPr>
      <xdr:spPr>
        <a:xfrm>
          <a:off x="1511300" y="965200"/>
          <a:ext cx="16713200" cy="1042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400" b="1"/>
            <a:t>A Need For Better Modeling of Forest Stand Level</a:t>
          </a:r>
          <a:r>
            <a:rPr lang="en-US" sz="2400" b="1" baseline="0"/>
            <a:t> Carbon Sequestration</a:t>
          </a:r>
        </a:p>
        <a:p>
          <a:pPr algn="ctr"/>
          <a:r>
            <a:rPr lang="en-US" sz="2400" b="1" baseline="0"/>
            <a:t>by Robert T. Leverett</a:t>
          </a:r>
          <a:endParaRPr lang="en-US" sz="2400" b="1"/>
        </a:p>
        <a:p>
          <a:endParaRPr lang="en-US" sz="2000" b="1"/>
        </a:p>
        <a:p>
          <a:endParaRPr lang="en-US" sz="2000" b="1"/>
        </a:p>
        <a:p>
          <a:r>
            <a:rPr lang="en-US" sz="2000" b="1"/>
            <a:t>There is a</a:t>
          </a:r>
          <a:r>
            <a:rPr lang="en-US" sz="2000" b="1" baseline="0"/>
            <a:t> </a:t>
          </a:r>
          <a:r>
            <a:rPr lang="en-US" sz="2000" b="1"/>
            <a:t>debate</a:t>
          </a:r>
          <a:r>
            <a:rPr lang="en-US" sz="2000" b="1" baseline="0"/>
            <a:t> among forest scientists over the roles of young, mature, and old forests in terms of their respective capacities for sequestering carbon. Traditional forestry sources have long maintained that younger woodlands sequester more carbon than older ones. These voices often present their conclusions to the public in the form of summary statements. One conclusion is that forests in the age range of 20 to 40 years sequester the most carbon. An important source shifts this range, e.g. 30 to 70 years. These statments are made often irrespective of forest types. But would they apply equally well to short-lived riparian forests and longer-lived woodlands such as northern hemlock-hardwood associations. There are the old redwood forests capable of living for 1,000 to 2,000 years, and even older. Is it likely that these forests were sequestering the greatest amounts of carbon at ages of well under 100 years? </a:t>
          </a:r>
        </a:p>
        <a:p>
          <a:r>
            <a:rPr lang="en-US" sz="2000" b="1" baseline="0"/>
            <a:t> </a:t>
          </a:r>
        </a:p>
        <a:p>
          <a:r>
            <a:rPr lang="en-US" sz="2000" b="1" baseline="0"/>
            <a:t>Until recently, scientists involved in these discussions appeared to accept the traditional forestry position, but more recent work casts considerable doubt on the validity of the early work. Mature forests may sequester carbon at continuing high rates for decades beyond what the traditional positions have held, yet what happens to an individual stand of trees depends on many complex events and on-going processes. It does not seem to make sense to apply the same rule or broad average to every case. We need tools to better analyze specific forest types under different site conditions.</a:t>
          </a:r>
        </a:p>
        <a:p>
          <a:endParaRPr lang="en-US" sz="2000" b="1" baseline="0"/>
        </a:p>
        <a:p>
          <a:r>
            <a:rPr lang="en-US" sz="2000" b="1"/>
            <a:t>This Excel</a:t>
          </a:r>
          <a:r>
            <a:rPr lang="en-US" sz="2000" b="1" baseline="0"/>
            <a:t> workbook is designed to allow the user to calculate volume growth </a:t>
          </a:r>
          <a:endParaRPr lang="en-US"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381000</xdr:colOff>
      <xdr:row>0</xdr:row>
      <xdr:rowOff>0</xdr:rowOff>
    </xdr:from>
    <xdr:to>
      <xdr:col>29</xdr:col>
      <xdr:colOff>355600</xdr:colOff>
      <xdr:row>69</xdr:row>
      <xdr:rowOff>63500</xdr:rowOff>
    </xdr:to>
    <xdr:sp macro="" textlink="">
      <xdr:nvSpPr>
        <xdr:cNvPr id="2" name="TextBox 1">
          <a:extLst>
            <a:ext uri="{FF2B5EF4-FFF2-40B4-BE49-F238E27FC236}">
              <a16:creationId xmlns:a16="http://schemas.microsoft.com/office/drawing/2014/main" id="{8C602565-38CC-DD4D-82E4-2F7518951E35}"/>
            </a:ext>
          </a:extLst>
        </xdr:cNvPr>
        <xdr:cNvSpPr txBox="1"/>
      </xdr:nvSpPr>
      <xdr:spPr>
        <a:xfrm>
          <a:off x="381000" y="0"/>
          <a:ext cx="23914100" cy="14211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							This Excel workbook allows the user to compute trunk volume and carbon growth</a:t>
          </a:r>
          <a:r>
            <a:rPr lang="en-US" sz="1800" b="1" baseline="0"/>
            <a:t> for </a:t>
          </a:r>
          <a:r>
            <a:rPr lang="en-US" sz="1800" b="1"/>
            <a:t>a stand of white pines from 0 to 200 years in 20-year increments. </a:t>
          </a:r>
          <a:endParaRPr lang="en-US" sz="1800" b="0"/>
        </a:p>
        <a:p>
          <a:endParaRPr lang="en-US" sz="1800"/>
        </a:p>
        <a:p>
          <a:r>
            <a:rPr lang="en-US" sz="1800"/>
            <a:t>1.</a:t>
          </a:r>
          <a:r>
            <a:rPr lang="en-US" sz="1800" baseline="0"/>
            <a:t> </a:t>
          </a:r>
          <a:r>
            <a:rPr lang="en-US" sz="1800"/>
            <a:t> The stand is divided into 6 trunk size classes from slow growing</a:t>
          </a:r>
          <a:r>
            <a:rPr lang="en-US" sz="1800" baseline="0"/>
            <a:t> to fast. Each tree in the stand belongs to one of the size classes and stays within that class throughout its history in the stand. </a:t>
          </a:r>
        </a:p>
        <a:p>
          <a:endParaRPr lang="en-US" sz="1800" baseline="0"/>
        </a:p>
        <a:p>
          <a:r>
            <a:rPr lang="en-US" sz="1800" baseline="0"/>
            <a:t>2. The growth of a tree in its size class is tracked through its annual radial and height growth and its trunk form factor. We know the radius, height, and form factor going into a period. We know the annual growth changes. So we can compute the volume growth of the during the period, and keep a running total. This process is implemented for each 20-year period for each class.  The basic volume formula is: V= π*r^2*H*F, where r = trunk radius at breast height, H =- total height, and F = trunk form factor.</a:t>
          </a:r>
        </a:p>
        <a:p>
          <a:endParaRPr lang="en-US" sz="1800" baseline="0"/>
        </a:p>
        <a:p>
          <a:r>
            <a:rPr lang="en-US" sz="1800" baseline="0"/>
            <a:t>3. These 3 inputs (annual radial increase, annual height increase, form factor) are provided for each 20-year period for each size class from 0 to 200 years. Sizes achieved at each period end and the  final total must be realistic and backed up by actual</a:t>
          </a:r>
        </a:p>
        <a:p>
          <a:r>
            <a:rPr lang="en-US" sz="1800" baseline="0"/>
            <a:t>     measurements for a stand.</a:t>
          </a:r>
        </a:p>
        <a:p>
          <a:endParaRPr lang="en-US" sz="1800" baseline="0"/>
        </a:p>
        <a:p>
          <a:r>
            <a:rPr lang="en-US" sz="1800" baseline="0"/>
            <a:t>4. Total stand stem density is projected for each 20-year period. A total covers all size classes.</a:t>
          </a:r>
        </a:p>
        <a:p>
          <a:endParaRPr lang="en-US" sz="1800" baseline="0"/>
        </a:p>
        <a:p>
          <a:r>
            <a:rPr lang="en-US" sz="1800" baseline="0"/>
            <a:t>5.  Each density total is divided among the 6 size classes, i.e. so many trees per class. To implement the distribution, a combination of actual counts plus percentages of the total are entered to get stem count for the size class for the period. Very large trees</a:t>
          </a:r>
        </a:p>
        <a:p>
          <a:r>
            <a:rPr lang="en-US" sz="1800" baseline="0"/>
            <a:t>     are usually individual counts and call upon experience in terms of what is encountered in a stand being profled. There is only one biggest tree. So, in this sense, the very largest volume achieved at the end of each period represents a single tree as</a:t>
          </a:r>
        </a:p>
        <a:p>
          <a:r>
            <a:rPr lang="en-US" sz="1800" baseline="0"/>
            <a:t>     opposed to an average. The distribution is forced to meet what is observed in a stand. This forcing action is done only for the largest two size classes.</a:t>
          </a:r>
        </a:p>
        <a:p>
          <a:endParaRPr lang="en-US" sz="1800" baseline="0"/>
        </a:p>
        <a:p>
          <a:r>
            <a:rPr lang="en-US" sz="1800" baseline="0"/>
            <a:t>6.  Crown radius is projected for each size class for each 20-year growth period.</a:t>
          </a:r>
        </a:p>
        <a:p>
          <a:endParaRPr lang="en-US" sz="1800" baseline="0"/>
        </a:p>
        <a:p>
          <a:r>
            <a:rPr lang="en-US" sz="1800" baseline="0"/>
            <a:t>7. A theoretical maximum number of stems of that size and period are computed for an acre. For example, at 20 years if all the stems were class size #1 and the average crown radius were 6 feet, then 385 stems would fit into an acre. Were all the stems</a:t>
          </a:r>
        </a:p>
        <a:p>
          <a:r>
            <a:rPr lang="en-US" sz="1800" baseline="0"/>
            <a:t>     class size #6 at 20 years, the average crown radius 9.5 feet, then the number of stems per acre would be 153. </a:t>
          </a:r>
        </a:p>
        <a:p>
          <a:endParaRPr lang="en-US" sz="1800" baseline="0"/>
        </a:p>
        <a:p>
          <a:r>
            <a:rPr lang="en-US" sz="1800" baseline="0"/>
            <a:t>8. Apportioning the stems among the size classes for a growth period should take up most of an acre in terms of the total area of the crowns. </a:t>
          </a:r>
        </a:p>
        <a:p>
          <a:endParaRPr lang="en-US" sz="1800" baseline="0"/>
        </a:p>
        <a:p>
          <a:r>
            <a:rPr lang="en-US" sz="1800" baseline="0"/>
            <a:t>9. The above construction allows for countless scenarios to be run subject to all the input being realistic in terms of what is seen for a stand - actual or theoretical.</a:t>
          </a:r>
        </a:p>
        <a:p>
          <a:endParaRPr lang="en-US" sz="1800" baseline="0"/>
        </a:p>
        <a:p>
          <a:r>
            <a:rPr lang="en-US" sz="1800" baseline="0"/>
            <a:t>10. The </a:t>
          </a:r>
          <a:r>
            <a:rPr lang="en-US" sz="1800" b="1" i="1" baseline="0"/>
            <a:t>Constructions </a:t>
          </a:r>
          <a:r>
            <a:rPr lang="en-US" sz="1800" baseline="0"/>
            <a:t>worksheet is where the stand is actually profiled. The worksheets </a:t>
          </a:r>
          <a:r>
            <a:rPr lang="en-US" sz="1800" b="1" i="1" baseline="0"/>
            <a:t>Biomass, Coeff_1, and Coeff_2 </a:t>
          </a:r>
          <a:r>
            <a:rPr lang="en-US" sz="1800" baseline="0"/>
            <a:t>are provided to allow the modeler to compare an FIA determined volume to a reticle-base modeling using methods of NTS. </a:t>
          </a:r>
        </a:p>
        <a:p>
          <a:r>
            <a:rPr lang="en-US" sz="1800" baseline="0"/>
            <a:t>       The FIA model takes DBH in inches and total height in feet and computes a variety of volumes and biomass outcomes. </a:t>
          </a:r>
          <a:r>
            <a:rPr lang="en-US" sz="1800" b="1" i="1" baseline="0"/>
            <a:t> Biomass</a:t>
          </a:r>
          <a:r>
            <a:rPr lang="en-US" sz="1800" baseline="0"/>
            <a:t> allows the modeler to compare the volume results to the modeling done using the frustum-based approach of NTS, </a:t>
          </a:r>
        </a:p>
        <a:p>
          <a:r>
            <a:rPr lang="en-US" sz="1800" baseline="0"/>
            <a:t>        which in term leads to the trunk form factor. </a:t>
          </a:r>
        </a:p>
        <a:p>
          <a:endParaRPr lang="en-US" sz="1800" baseline="0"/>
        </a:p>
        <a:p>
          <a:r>
            <a:rPr lang="en-US" sz="1800" baseline="0"/>
            <a:t>11. Returns of </a:t>
          </a:r>
          <a:r>
            <a:rPr lang="en-US" sz="1800" b="1" i="1" baseline="0"/>
            <a:t>Constructions</a:t>
          </a:r>
          <a:r>
            <a:rPr lang="en-US" sz="1800" baseline="0"/>
            <a:t> includes: (1) The indivual growth profiles for each period from 0 to 200 years for each of the six trunk size classes, (2) individual size class and stand growth for each of the 20-year periods from 0 to 200 years, (3) individual tree </a:t>
          </a:r>
        </a:p>
        <a:p>
          <a:r>
            <a:rPr lang="en-US" sz="1800" baseline="0"/>
            <a:t>       and stand trunk volume growth summaries for 40 and 60 year intervals, (4) equivalent carbon growth summaries, (5) other summraies include individual class growth at 20 year increments, but starting at 10 year s as opposed to 0, and (6) line and bar</a:t>
          </a:r>
        </a:p>
        <a:p>
          <a:r>
            <a:rPr lang="en-US" sz="1800" baseline="0"/>
            <a:t>       graph summaries showing the preceding. </a:t>
          </a:r>
        </a:p>
        <a:p>
          <a:endParaRPr lang="en-US" sz="1800" baseline="0"/>
        </a:p>
        <a:p>
          <a:r>
            <a:rPr lang="en-US" sz="1800" baseline="0"/>
            <a:t>12. This modeling system is intended to allow the user to play what-if games based on realistic individual tree and stand-based growth scenarios. It allows us to follow live above ground biomass for the white pines with a provision of other species coming</a:t>
          </a:r>
        </a:p>
        <a:p>
          <a:r>
            <a:rPr lang="en-US" sz="1800" baseline="0"/>
            <a:t>       back in to the stand oveer time. It does not include provisions for carbon in dead above ground biomass or carbon in the litter layer and below ground. As a consequence, the buildup of carbon over time will be much greater than shown. For example,</a:t>
          </a:r>
        </a:p>
        <a:p>
          <a:r>
            <a:rPr lang="en-US" sz="1800" baseline="0"/>
            <a:t>       the scenario shown in Construction shows 106 tons of carbon in the live above ground biomass. A MASS research paper quotes 39% of the total system carbon in live ABG biomass. At 100 yeaars, we would have a total of 272 tonsof carbon/acre if the </a:t>
          </a:r>
        </a:p>
        <a:p>
          <a:r>
            <a:rPr lang="en-US" sz="1800" baseline="0"/>
            <a:t>       39% figure is accurate.</a:t>
          </a:r>
        </a:p>
        <a:p>
          <a:endParaRPr lang="en-US" sz="1800" baseline="0"/>
        </a:p>
        <a:p>
          <a:r>
            <a:rPr lang="en-US" sz="1800" baseline="0"/>
            <a:t>13. An important feature of this modeling system is that it allows us to see where volume growth reaches its peak in terms of the ten 20-year periods and where each size class reaches its peak during the ten 20-year periods. For example, in the scenario</a:t>
          </a:r>
        </a:p>
        <a:p>
          <a:r>
            <a:rPr lang="en-US" sz="1800" baseline="0"/>
            <a:t>       shown in </a:t>
          </a:r>
          <a:r>
            <a:rPr lang="en-US" sz="1800" i="1" baseline="0"/>
            <a:t>Constructions</a:t>
          </a:r>
          <a:r>
            <a:rPr lang="en-US" sz="1800" baseline="0"/>
            <a:t>, for the staand as a whole, the period 61-80 years show the greatest volume increase. Similarly, the individual size classes reach their maximums in the 60-81-year period. However, total live above ground volume reaches its</a:t>
          </a:r>
        </a:p>
        <a:p>
          <a:r>
            <a:rPr lang="en-US" sz="1800" baseline="0"/>
            <a:t>       peak at 140 years, taking 20-year intervals. At 50-year intervals, the above ground live maximum is reached at 150 years. It is the interplay of individual growth rates and stand densities that determine where maximums occur.</a:t>
          </a:r>
        </a:p>
        <a:p>
          <a:endParaRPr lang="en-US" sz="1800" baseline="0"/>
        </a:p>
        <a:p>
          <a:r>
            <a:rPr lang="en-US" sz="1800" baseline="0"/>
            <a:t>14. Notice that in the </a:t>
          </a:r>
          <a:r>
            <a:rPr lang="en-US" sz="1800" b="1" i="1" baseline="0"/>
            <a:t>Annual 20-Yr Growth </a:t>
          </a:r>
          <a:r>
            <a:rPr lang="en-US" sz="1800" baseline="0"/>
            <a:t>worksheet, maximum annual volume growth may be achieved at differnt points depending on the class. </a:t>
          </a:r>
        </a:p>
        <a:p>
          <a:endParaRPr lang="en-US" sz="1800" baseline="0"/>
        </a:p>
        <a:p>
          <a:r>
            <a:rPr lang="en-US" sz="1800" baseline="0"/>
            <a:t>15. </a:t>
          </a:r>
          <a:r>
            <a:rPr lang="en-US" sz="1800" b="1" i="1" baseline="0"/>
            <a:t>Average Tree </a:t>
          </a:r>
          <a:r>
            <a:rPr lang="en-US" sz="1800" baseline="0"/>
            <a:t>worksheet computes an average tree size in the stand from the 6 class sizes and weighted by their densities at the stand age of 140 years. </a:t>
          </a:r>
          <a:endParaRPr lang="en-US" sz="18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150</xdr:row>
      <xdr:rowOff>266700</xdr:rowOff>
    </xdr:from>
    <xdr:to>
      <xdr:col>7</xdr:col>
      <xdr:colOff>1473200</xdr:colOff>
      <xdr:row>220</xdr:row>
      <xdr:rowOff>88900</xdr:rowOff>
    </xdr:to>
    <xdr:sp macro="" textlink="">
      <xdr:nvSpPr>
        <xdr:cNvPr id="2" name="TextBox 1">
          <a:extLst>
            <a:ext uri="{FF2B5EF4-FFF2-40B4-BE49-F238E27FC236}">
              <a16:creationId xmlns:a16="http://schemas.microsoft.com/office/drawing/2014/main" id="{E1AD373A-A501-1E4D-83E8-18E47F00B32A}"/>
            </a:ext>
          </a:extLst>
        </xdr:cNvPr>
        <xdr:cNvSpPr txBox="1"/>
      </xdr:nvSpPr>
      <xdr:spPr>
        <a:xfrm>
          <a:off x="0" y="57797700"/>
          <a:ext cx="9080500" cy="2024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NOTES</a:t>
          </a:r>
        </a:p>
        <a:p>
          <a:endParaRPr lang="en-US" sz="1600"/>
        </a:p>
        <a:p>
          <a:r>
            <a:rPr lang="en-US" sz="1600"/>
            <a:t>1)</a:t>
          </a:r>
          <a:r>
            <a:rPr lang="en-US" sz="1600" baseline="0"/>
            <a:t> </a:t>
          </a:r>
          <a:r>
            <a:rPr lang="en-US" sz="1600">
              <a:solidFill>
                <a:srgbClr val="FF0000"/>
              </a:solidFill>
            </a:rPr>
            <a:t>The above</a:t>
          </a:r>
          <a:r>
            <a:rPr lang="en-US" sz="1600" baseline="0">
              <a:solidFill>
                <a:srgbClr val="FF0000"/>
              </a:solidFill>
            </a:rPr>
            <a:t> tables construct trunk growth for individual trees and an entire stand using 5 size classes of white pine trunks. Individual tree growth and stand development are modeled from 0 to 200 years. One objective is to track volume increases over time in both rates and absolute amounts. The 5 trees represent a site index as shown in cell P93.</a:t>
          </a:r>
        </a:p>
        <a:p>
          <a:endParaRPr lang="en-US" sz="1600" baseline="0"/>
        </a:p>
        <a:p>
          <a:r>
            <a:rPr lang="en-US" sz="1600" baseline="0"/>
            <a:t>2) Constructions incorporate trunk target sizes at specific points in time consistent with the end sizes. Radial and height growth rates are assumed based on field measurements for pines in the age classes shown.</a:t>
          </a:r>
        </a:p>
        <a:p>
          <a:endParaRPr lang="en-US" sz="1600" baseline="0"/>
        </a:p>
        <a:p>
          <a:r>
            <a:rPr lang="en-US" sz="1600" baseline="0"/>
            <a:t>3) The input columns are: (1) C: annual radial growth for each period, (2) J: annual height growth for  period, 3) L: annual form factor for each period, and 4) AI: predicted number of stems at the end of the period. The largest class is entered first (i.e. class 5), followed by the second (class 4), since there will be a limited number of trees of maximum size.  Classes 3 and 2 are entered next. </a:t>
          </a:r>
          <a:r>
            <a:rPr lang="en-US" sz="1600" baseline="0">
              <a:solidFill>
                <a:srgbClr val="00B050"/>
              </a:solidFill>
            </a:rPr>
            <a:t>The Class 1 count is forced to insure that total crown area equals 43,560 ft^2, i.e. an acre.</a:t>
          </a:r>
        </a:p>
        <a:p>
          <a:endParaRPr lang="en-US" sz="1600" baseline="0"/>
        </a:p>
        <a:p>
          <a:r>
            <a:rPr lang="en-US" sz="1600" baseline="0"/>
            <a:t>4) For the last two trees, the form factor is used to force volumes to the actual modeled amounts for these two trees. </a:t>
          </a:r>
        </a:p>
        <a:p>
          <a:endParaRPr lang="en-US" sz="1600" baseline="0"/>
        </a:p>
        <a:p>
          <a:r>
            <a:rPr lang="en-US" sz="1600" baseline="0"/>
            <a:t>5) Fast radial and height growth are loaded up for the period from 20-60 years for all 5 trees. For example, the Thoreau pine is given a 0.305 inches of radial growth per year between 20 and 40 years. This allows Thoreau to reach a 5-foot circumference in 40 years. </a:t>
          </a:r>
        </a:p>
        <a:p>
          <a:endParaRPr lang="en-US" sz="1600" baseline="0"/>
        </a:p>
        <a:p>
          <a:r>
            <a:rPr lang="en-US" sz="1600" baseline="0"/>
            <a:t>6) Class 1 and 2 trees' annual growth is fastest between 41 and 60 years. </a:t>
          </a:r>
        </a:p>
        <a:p>
          <a:endParaRPr lang="en-US" sz="1600" baseline="0"/>
        </a:p>
        <a:p>
          <a:r>
            <a:rPr lang="en-US" sz="1600" baseline="0"/>
            <a:t>7) Class 3 tree's growth is fastest between 61and 80 years.</a:t>
          </a:r>
        </a:p>
        <a:p>
          <a:endParaRPr lang="en-US" sz="1600" baseline="0"/>
        </a:p>
        <a:p>
          <a:r>
            <a:rPr lang="en-US" sz="1600" baseline="0"/>
            <a:t>8) Class 4 tree's growth is about equally fast between 81-100 and 101-120 with the absolute fastest between 101 and 120 years.</a:t>
          </a:r>
        </a:p>
        <a:p>
          <a:endParaRPr lang="en-US" sz="1600" baseline="0"/>
        </a:p>
        <a:p>
          <a:r>
            <a:rPr lang="en-US" sz="1600" baseline="0"/>
            <a:t>9) Class 5 tree's growth is fastest between 81 and 100 years. </a:t>
          </a:r>
        </a:p>
        <a:p>
          <a:endParaRPr lang="en-US" sz="1600" baseline="0"/>
        </a:p>
        <a:p>
          <a:r>
            <a:rPr lang="en-US" sz="1600" baseline="0"/>
            <a:t>10) What can be gleaned from the above is that as tree size increases, the period when annual volume growth is greatest moves up. </a:t>
          </a:r>
        </a:p>
        <a:p>
          <a:endParaRPr lang="en-US" sz="1600" baseline="0"/>
        </a:p>
        <a:p>
          <a:r>
            <a:rPr lang="en-US" sz="1600" baseline="0"/>
            <a:t>11) Worksheets Biomass, Coeff_1, Coeff_2 are for applying FIA-based growth models for comparison to NTS models.  The FIA gives larger volumes in the first 20 years than do the NTS constructions. Thereafter, the two modleing systems come fairly close to very close. This illustrates the value of comparing the statistical approach of FIA with direct measurement and trunk construction that utilizes observed rates of growth across the tree size classes. Tree growth was not constructed with the FIA volumes in mind. The degree of closeness came as a surprise.</a:t>
          </a:r>
        </a:p>
        <a:p>
          <a:endParaRPr lang="en-US" sz="1600" baseline="0"/>
        </a:p>
        <a:p>
          <a:r>
            <a:rPr lang="en-US" sz="1600" baseline="0"/>
            <a:t>12) Stand densities are constructed on the basis of individual tree crown areas. This may not be the best method, but large trees have larger crowns and pines don't interleave their crowns. By measuring crown sizes for different sized-trees, we can estimate theoretical stem densities, assuming total or partial crown cover per unit area. This is how theoretical stem densities have been computed. Actual observation was also used. The above construction utilizes on-the-ground observations to arrive at the stem densities that we see as stands age. </a:t>
          </a:r>
        </a:p>
        <a:p>
          <a:endParaRPr lang="en-US" sz="1600" baseline="0"/>
        </a:p>
        <a:p>
          <a:r>
            <a:rPr lang="en-US" sz="1600" baseline="0"/>
            <a:t>13) Going from the earliest age class (0-20), we allow tree mortality to vie with new tree growth (other species in the case of pine stands) to re-populate the smallest class of trees. At 0-20, we allow for 0 mortaility so that stand density is at its highest. Thereafter, overall density drops. Theoretical stand density drops from 318 stems at 20 years to 72 at 200 years. This includes other species in size class 1, but does not include seedlings. </a:t>
          </a:r>
        </a:p>
        <a:p>
          <a:endParaRPr lang="en-US" sz="1600" baseline="0"/>
        </a:p>
        <a:p>
          <a:r>
            <a:rPr lang="en-US" sz="1600" baseline="0"/>
            <a:t>14) The stand construction allows for one super dominant tree and two highly dominant ones. The two size classes below these largest two have most of the population that lives for 200 years; i.e. 95 stems at age 20 dropping to 39 at 200. Overall density of non-seedlings drops from 319 to 72 over the 200 years.  Seedlings would push these numbers up, but contribute minimum added volume.</a:t>
          </a:r>
        </a:p>
        <a:p>
          <a:endParaRPr lang="en-US" sz="1600" baseline="0"/>
        </a:p>
        <a:p>
          <a:r>
            <a:rPr lang="en-US" sz="1600" baseline="0"/>
            <a:t>15) A result that stands out is that at both the individual tree and stand levels, growth in the first 40 years, while high, significantly trails volume in the period 41-80, and trails slightly for the period 81-120. The live volume from 181-200 goes down slightly in the above construction. However, the actual carbon would go up for a white pine stand since denser hardwoods would be replacing the pines.</a:t>
          </a:r>
        </a:p>
        <a:p>
          <a:endParaRPr lang="en-US" sz="1600" baseline="0"/>
        </a:p>
        <a:p>
          <a:r>
            <a:rPr lang="en-US" sz="1600" baseline="0"/>
            <a:t>16) The above modeling is only one of many, but this one gives ample weight to growth in younger years. By changing the radial and height growth and form factor for individual trees and stand densities, very different results would be obtained. The above are based on the experience of the author.</a:t>
          </a:r>
        </a:p>
        <a:p>
          <a:endParaRPr lang="en-US" sz="1600" baseline="0"/>
        </a:p>
        <a:p>
          <a:r>
            <a:rPr lang="en-US" sz="1600" baseline="0"/>
            <a:t>17) Changes to the above values are entered in the </a:t>
          </a:r>
          <a:r>
            <a:rPr lang="en-US" sz="1600" b="1" baseline="0">
              <a:solidFill>
                <a:srgbClr val="00B050"/>
              </a:solidFill>
            </a:rPr>
            <a:t>green cells</a:t>
          </a:r>
          <a:r>
            <a:rPr lang="en-US" sz="1600" baseline="0"/>
            <a:t>. If changes are made that lead to a volume change,  the new diameter in inches and height in feet must then be fed to the FIA model in the</a:t>
          </a:r>
          <a:r>
            <a:rPr lang="en-US" sz="1600" u="sng" baseline="0"/>
            <a:t> Biomass worksheet </a:t>
          </a:r>
          <a:r>
            <a:rPr lang="en-US" sz="1600" baseline="0"/>
            <a:t>to get the updated FIA volume. All other cells  that are affected are updated automatically.</a:t>
          </a:r>
        </a:p>
        <a:p>
          <a:endParaRPr lang="en-US" sz="1600" baseline="0"/>
        </a:p>
        <a:p>
          <a:endParaRPr lang="en-US" sz="1600" baseline="0"/>
        </a:p>
        <a:p>
          <a:endParaRPr lang="en-US" sz="1600"/>
        </a:p>
      </xdr:txBody>
    </xdr:sp>
    <xdr:clientData/>
  </xdr:twoCellAnchor>
  <xdr:oneCellAnchor>
    <xdr:from>
      <xdr:col>4</xdr:col>
      <xdr:colOff>812800</xdr:colOff>
      <xdr:row>39</xdr:row>
      <xdr:rowOff>38100</xdr:rowOff>
    </xdr:from>
    <xdr:ext cx="184731" cy="264560"/>
    <xdr:sp macro="" textlink="">
      <xdr:nvSpPr>
        <xdr:cNvPr id="6" name="TextBox 5">
          <a:extLst>
            <a:ext uri="{FF2B5EF4-FFF2-40B4-BE49-F238E27FC236}">
              <a16:creationId xmlns:a16="http://schemas.microsoft.com/office/drawing/2014/main" id="{0781A8DF-CF4C-484C-A972-BA3A92C5399B}"/>
            </a:ext>
          </a:extLst>
        </xdr:cNvPr>
        <xdr:cNvSpPr txBox="1"/>
      </xdr:nvSpPr>
      <xdr:spPr>
        <a:xfrm>
          <a:off x="5054600" y="3045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73</xdr:col>
      <xdr:colOff>12700</xdr:colOff>
      <xdr:row>20</xdr:row>
      <xdr:rowOff>38100</xdr:rowOff>
    </xdr:from>
    <xdr:to>
      <xdr:col>80</xdr:col>
      <xdr:colOff>381000</xdr:colOff>
      <xdr:row>21</xdr:row>
      <xdr:rowOff>88900</xdr:rowOff>
    </xdr:to>
    <xdr:sp macro="" textlink="">
      <xdr:nvSpPr>
        <xdr:cNvPr id="12" name="TextBox 11">
          <a:extLst>
            <a:ext uri="{FF2B5EF4-FFF2-40B4-BE49-F238E27FC236}">
              <a16:creationId xmlns:a16="http://schemas.microsoft.com/office/drawing/2014/main" id="{D327BF96-41BC-4E4E-AFF3-210D595424D9}"/>
            </a:ext>
          </a:extLst>
        </xdr:cNvPr>
        <xdr:cNvSpPr txBox="1"/>
      </xdr:nvSpPr>
      <xdr:spPr>
        <a:xfrm>
          <a:off x="67665600" y="9156700"/>
          <a:ext cx="6146800" cy="35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t>           20.          40.        60.         80.        100.        120.        140.     160.      180.      200 </a:t>
          </a:r>
        </a:p>
      </xdr:txBody>
    </xdr:sp>
    <xdr:clientData/>
  </xdr:twoCellAnchor>
  <xdr:twoCellAnchor>
    <xdr:from>
      <xdr:col>80</xdr:col>
      <xdr:colOff>520700</xdr:colOff>
      <xdr:row>19</xdr:row>
      <xdr:rowOff>292100</xdr:rowOff>
    </xdr:from>
    <xdr:to>
      <xdr:col>88</xdr:col>
      <xdr:colOff>419100</xdr:colOff>
      <xdr:row>21</xdr:row>
      <xdr:rowOff>12700</xdr:rowOff>
    </xdr:to>
    <xdr:sp macro="" textlink="">
      <xdr:nvSpPr>
        <xdr:cNvPr id="13" name="TextBox 12">
          <a:extLst>
            <a:ext uri="{FF2B5EF4-FFF2-40B4-BE49-F238E27FC236}">
              <a16:creationId xmlns:a16="http://schemas.microsoft.com/office/drawing/2014/main" id="{3B93D907-FEBE-024C-BDF3-9FD834594CFF}"/>
            </a:ext>
          </a:extLst>
        </xdr:cNvPr>
        <xdr:cNvSpPr txBox="1"/>
      </xdr:nvSpPr>
      <xdr:spPr>
        <a:xfrm>
          <a:off x="73952100" y="9105900"/>
          <a:ext cx="6502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t>           20.          40.        60.         80.        100.        120.        140.     160.      180.      200</a:t>
          </a:r>
        </a:p>
      </xdr:txBody>
    </xdr:sp>
    <xdr:clientData/>
  </xdr:twoCellAnchor>
  <xdr:twoCellAnchor>
    <xdr:from>
      <xdr:col>72</xdr:col>
      <xdr:colOff>209550</xdr:colOff>
      <xdr:row>1</xdr:row>
      <xdr:rowOff>336550</xdr:rowOff>
    </xdr:from>
    <xdr:to>
      <xdr:col>90</xdr:col>
      <xdr:colOff>114300</xdr:colOff>
      <xdr:row>19</xdr:row>
      <xdr:rowOff>139700</xdr:rowOff>
    </xdr:to>
    <xdr:graphicFrame macro="">
      <xdr:nvGraphicFramePr>
        <xdr:cNvPr id="3" name="Chart 2">
          <a:extLst>
            <a:ext uri="{FF2B5EF4-FFF2-40B4-BE49-F238E27FC236}">
              <a16:creationId xmlns:a16="http://schemas.microsoft.com/office/drawing/2014/main" id="{17BD434E-F159-0240-A8AE-BD2454F787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82</xdr:col>
      <xdr:colOff>546100</xdr:colOff>
      <xdr:row>15</xdr:row>
      <xdr:rowOff>0</xdr:rowOff>
    </xdr:from>
    <xdr:to>
      <xdr:col>83</xdr:col>
      <xdr:colOff>762000</xdr:colOff>
      <xdr:row>16</xdr:row>
      <xdr:rowOff>215900</xdr:rowOff>
    </xdr:to>
    <xdr:sp macro="" textlink="">
      <xdr:nvSpPr>
        <xdr:cNvPr id="14" name="TextBox 13">
          <a:extLst>
            <a:ext uri="{FF2B5EF4-FFF2-40B4-BE49-F238E27FC236}">
              <a16:creationId xmlns:a16="http://schemas.microsoft.com/office/drawing/2014/main" id="{B206AD5F-8D64-A34F-850B-6DADEEB88E96}"/>
            </a:ext>
          </a:extLst>
        </xdr:cNvPr>
        <xdr:cNvSpPr txBox="1"/>
      </xdr:nvSpPr>
      <xdr:spPr>
        <a:xfrm>
          <a:off x="80911700" y="62103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#1</a:t>
          </a:r>
        </a:p>
      </xdr:txBody>
    </xdr:sp>
    <xdr:clientData/>
  </xdr:twoCellAnchor>
  <xdr:twoCellAnchor>
    <xdr:from>
      <xdr:col>83</xdr:col>
      <xdr:colOff>355600</xdr:colOff>
      <xdr:row>2</xdr:row>
      <xdr:rowOff>1346200</xdr:rowOff>
    </xdr:from>
    <xdr:to>
      <xdr:col>85</xdr:col>
      <xdr:colOff>673100</xdr:colOff>
      <xdr:row>3</xdr:row>
      <xdr:rowOff>215900</xdr:rowOff>
    </xdr:to>
    <xdr:sp macro="" textlink="">
      <xdr:nvSpPr>
        <xdr:cNvPr id="15" name="TextBox 14">
          <a:extLst>
            <a:ext uri="{FF2B5EF4-FFF2-40B4-BE49-F238E27FC236}">
              <a16:creationId xmlns:a16="http://schemas.microsoft.com/office/drawing/2014/main" id="{57320BB8-5EC6-CE42-8BCD-3017A26C2DAF}"/>
            </a:ext>
          </a:extLst>
        </xdr:cNvPr>
        <xdr:cNvSpPr txBox="1"/>
      </xdr:nvSpPr>
      <xdr:spPr>
        <a:xfrm>
          <a:off x="81546700" y="2070100"/>
          <a:ext cx="19685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#6 </a:t>
          </a:r>
        </a:p>
      </xdr:txBody>
    </xdr:sp>
    <xdr:clientData/>
  </xdr:twoCellAnchor>
  <xdr:twoCellAnchor>
    <xdr:from>
      <xdr:col>82</xdr:col>
      <xdr:colOff>393700</xdr:colOff>
      <xdr:row>10</xdr:row>
      <xdr:rowOff>152400</xdr:rowOff>
    </xdr:from>
    <xdr:to>
      <xdr:col>83</xdr:col>
      <xdr:colOff>609600</xdr:colOff>
      <xdr:row>12</xdr:row>
      <xdr:rowOff>76200</xdr:rowOff>
    </xdr:to>
    <xdr:sp macro="" textlink="">
      <xdr:nvSpPr>
        <xdr:cNvPr id="16" name="TextBox 15">
          <a:extLst>
            <a:ext uri="{FF2B5EF4-FFF2-40B4-BE49-F238E27FC236}">
              <a16:creationId xmlns:a16="http://schemas.microsoft.com/office/drawing/2014/main" id="{E80B36CD-37BA-1F43-BEC7-AE7DAF77DF2F}"/>
            </a:ext>
          </a:extLst>
        </xdr:cNvPr>
        <xdr:cNvSpPr txBox="1"/>
      </xdr:nvSpPr>
      <xdr:spPr>
        <a:xfrm>
          <a:off x="80759300" y="47117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#4</a:t>
          </a:r>
        </a:p>
      </xdr:txBody>
    </xdr:sp>
    <xdr:clientData/>
  </xdr:twoCellAnchor>
  <xdr:twoCellAnchor>
    <xdr:from>
      <xdr:col>82</xdr:col>
      <xdr:colOff>596900</xdr:colOff>
      <xdr:row>5</xdr:row>
      <xdr:rowOff>114300</xdr:rowOff>
    </xdr:from>
    <xdr:to>
      <xdr:col>85</xdr:col>
      <xdr:colOff>431800</xdr:colOff>
      <xdr:row>7</xdr:row>
      <xdr:rowOff>63500</xdr:rowOff>
    </xdr:to>
    <xdr:sp macro="" textlink="">
      <xdr:nvSpPr>
        <xdr:cNvPr id="17" name="TextBox 16">
          <a:extLst>
            <a:ext uri="{FF2B5EF4-FFF2-40B4-BE49-F238E27FC236}">
              <a16:creationId xmlns:a16="http://schemas.microsoft.com/office/drawing/2014/main" id="{0C1B19DE-B639-F143-9E91-5CE2D8EA3886}"/>
            </a:ext>
          </a:extLst>
        </xdr:cNvPr>
        <xdr:cNvSpPr txBox="1"/>
      </xdr:nvSpPr>
      <xdr:spPr>
        <a:xfrm>
          <a:off x="80962500" y="3098800"/>
          <a:ext cx="231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#5 </a:t>
          </a:r>
        </a:p>
      </xdr:txBody>
    </xdr:sp>
    <xdr:clientData/>
  </xdr:twoCellAnchor>
  <xdr:twoCellAnchor>
    <xdr:from>
      <xdr:col>82</xdr:col>
      <xdr:colOff>495300</xdr:colOff>
      <xdr:row>12</xdr:row>
      <xdr:rowOff>88900</xdr:rowOff>
    </xdr:from>
    <xdr:to>
      <xdr:col>83</xdr:col>
      <xdr:colOff>711200</xdr:colOff>
      <xdr:row>14</xdr:row>
      <xdr:rowOff>25400</xdr:rowOff>
    </xdr:to>
    <xdr:sp macro="" textlink="">
      <xdr:nvSpPr>
        <xdr:cNvPr id="18" name="TextBox 17">
          <a:extLst>
            <a:ext uri="{FF2B5EF4-FFF2-40B4-BE49-F238E27FC236}">
              <a16:creationId xmlns:a16="http://schemas.microsoft.com/office/drawing/2014/main" id="{0B456D13-1711-8343-AF6B-93C97B9F9326}"/>
            </a:ext>
          </a:extLst>
        </xdr:cNvPr>
        <xdr:cNvSpPr txBox="1"/>
      </xdr:nvSpPr>
      <xdr:spPr>
        <a:xfrm>
          <a:off x="80860900" y="5283200"/>
          <a:ext cx="1041400"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#3</a:t>
          </a:r>
        </a:p>
      </xdr:txBody>
    </xdr:sp>
    <xdr:clientData/>
  </xdr:twoCellAnchor>
  <xdr:twoCellAnchor>
    <xdr:from>
      <xdr:col>82</xdr:col>
      <xdr:colOff>317500</xdr:colOff>
      <xdr:row>13</xdr:row>
      <xdr:rowOff>292100</xdr:rowOff>
    </xdr:from>
    <xdr:to>
      <xdr:col>83</xdr:col>
      <xdr:colOff>533400</xdr:colOff>
      <xdr:row>15</xdr:row>
      <xdr:rowOff>152400</xdr:rowOff>
    </xdr:to>
    <xdr:sp macro="" textlink="">
      <xdr:nvSpPr>
        <xdr:cNvPr id="19" name="TextBox 18">
          <a:extLst>
            <a:ext uri="{FF2B5EF4-FFF2-40B4-BE49-F238E27FC236}">
              <a16:creationId xmlns:a16="http://schemas.microsoft.com/office/drawing/2014/main" id="{A482BE0E-698B-2646-8DE4-F5D47CA763A8}"/>
            </a:ext>
          </a:extLst>
        </xdr:cNvPr>
        <xdr:cNvSpPr txBox="1"/>
      </xdr:nvSpPr>
      <xdr:spPr>
        <a:xfrm>
          <a:off x="74510900" y="58039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#2</a:t>
          </a:r>
        </a:p>
      </xdr:txBody>
    </xdr:sp>
    <xdr:clientData/>
  </xdr:twoCellAnchor>
  <xdr:twoCellAnchor>
    <xdr:from>
      <xdr:col>79</xdr:col>
      <xdr:colOff>190500</xdr:colOff>
      <xdr:row>17</xdr:row>
      <xdr:rowOff>12700</xdr:rowOff>
    </xdr:from>
    <xdr:to>
      <xdr:col>81</xdr:col>
      <xdr:colOff>635000</xdr:colOff>
      <xdr:row>18</xdr:row>
      <xdr:rowOff>190500</xdr:rowOff>
    </xdr:to>
    <xdr:sp macro="" textlink="">
      <xdr:nvSpPr>
        <xdr:cNvPr id="20" name="TextBox 19">
          <a:extLst>
            <a:ext uri="{FF2B5EF4-FFF2-40B4-BE49-F238E27FC236}">
              <a16:creationId xmlns:a16="http://schemas.microsoft.com/office/drawing/2014/main" id="{691BA152-4FD3-FF40-B3AE-D7853A1C6501}"/>
            </a:ext>
          </a:extLst>
        </xdr:cNvPr>
        <xdr:cNvSpPr txBox="1"/>
      </xdr:nvSpPr>
      <xdr:spPr>
        <a:xfrm>
          <a:off x="71907400" y="8255000"/>
          <a:ext cx="2095500"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&lt;----- Years -----&gt;</a:t>
          </a:r>
        </a:p>
      </xdr:txBody>
    </xdr:sp>
    <xdr:clientData/>
  </xdr:twoCellAnchor>
  <xdr:twoCellAnchor>
    <xdr:from>
      <xdr:col>72</xdr:col>
      <xdr:colOff>558800</xdr:colOff>
      <xdr:row>30</xdr:row>
      <xdr:rowOff>292100</xdr:rowOff>
    </xdr:from>
    <xdr:to>
      <xdr:col>73</xdr:col>
      <xdr:colOff>609600</xdr:colOff>
      <xdr:row>30</xdr:row>
      <xdr:rowOff>749300</xdr:rowOff>
    </xdr:to>
    <xdr:sp macro="" textlink="">
      <xdr:nvSpPr>
        <xdr:cNvPr id="21" name="TextBox 20">
          <a:extLst>
            <a:ext uri="{FF2B5EF4-FFF2-40B4-BE49-F238E27FC236}">
              <a16:creationId xmlns:a16="http://schemas.microsoft.com/office/drawing/2014/main" id="{7BEB8AF6-67D1-2F4F-B74B-2A9493087149}"/>
            </a:ext>
          </a:extLst>
        </xdr:cNvPr>
        <xdr:cNvSpPr txBox="1"/>
      </xdr:nvSpPr>
      <xdr:spPr>
        <a:xfrm>
          <a:off x="72821800" y="12674600"/>
          <a:ext cx="876300" cy="457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800" b="1"/>
        </a:p>
      </xdr:txBody>
    </xdr:sp>
    <xdr:clientData/>
  </xdr:twoCellAnchor>
  <xdr:oneCellAnchor>
    <xdr:from>
      <xdr:col>72</xdr:col>
      <xdr:colOff>101600</xdr:colOff>
      <xdr:row>1</xdr:row>
      <xdr:rowOff>260350</xdr:rowOff>
    </xdr:from>
    <xdr:ext cx="762000" cy="261290"/>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12CC293-8F97-5F41-8EFA-C94A57483BA4}"/>
                </a:ext>
              </a:extLst>
            </xdr:cNvPr>
            <xdr:cNvSpPr txBox="1"/>
          </xdr:nvSpPr>
          <xdr:spPr>
            <a:xfrm>
              <a:off x="66040000" y="641350"/>
              <a:ext cx="762000" cy="261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p>
                      <m:sSupPr>
                        <m:ctrlPr>
                          <a:rPr lang="en-US" sz="1600" b="1" i="1">
                            <a:latin typeface="Cambria Math" panose="02040503050406030204" pitchFamily="18" charset="0"/>
                          </a:rPr>
                        </m:ctrlPr>
                      </m:sSupPr>
                      <m:e>
                        <m:r>
                          <a:rPr lang="en-US" sz="1600" b="1" i="1">
                            <a:latin typeface="Cambria Math" panose="02040503050406030204" pitchFamily="18" charset="0"/>
                          </a:rPr>
                          <m:t>𝒇𝒕</m:t>
                        </m:r>
                      </m:e>
                      <m:sup>
                        <m:r>
                          <a:rPr lang="en-US" sz="1600" b="1" i="1">
                            <a:latin typeface="Cambria Math" panose="02040503050406030204" pitchFamily="18" charset="0"/>
                          </a:rPr>
                          <m:t>𝟑</m:t>
                        </m:r>
                      </m:sup>
                    </m:sSup>
                  </m:oMath>
                </m:oMathPara>
              </a14:m>
              <a:endParaRPr lang="en-US" sz="1600" b="1"/>
            </a:p>
          </xdr:txBody>
        </xdr:sp>
      </mc:Choice>
      <mc:Fallback xmlns="">
        <xdr:sp macro="" textlink="">
          <xdr:nvSpPr>
            <xdr:cNvPr id="5" name="TextBox 4">
              <a:extLst>
                <a:ext uri="{FF2B5EF4-FFF2-40B4-BE49-F238E27FC236}">
                  <a16:creationId xmlns:a16="http://schemas.microsoft.com/office/drawing/2014/main" id="{012CC293-8F97-5F41-8EFA-C94A57483BA4}"/>
                </a:ext>
              </a:extLst>
            </xdr:cNvPr>
            <xdr:cNvSpPr txBox="1"/>
          </xdr:nvSpPr>
          <xdr:spPr>
            <a:xfrm>
              <a:off x="66040000" y="641350"/>
              <a:ext cx="762000" cy="261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〖𝒇𝒕〗^𝟑</a:t>
              </a:r>
              <a:endParaRPr lang="en-US" sz="1600" b="1"/>
            </a:p>
          </xdr:txBody>
        </xdr:sp>
      </mc:Fallback>
    </mc:AlternateContent>
    <xdr:clientData/>
  </xdr:oneCellAnchor>
  <xdr:twoCellAnchor>
    <xdr:from>
      <xdr:col>83</xdr:col>
      <xdr:colOff>190500</xdr:colOff>
      <xdr:row>30</xdr:row>
      <xdr:rowOff>1568450</xdr:rowOff>
    </xdr:from>
    <xdr:to>
      <xdr:col>94</xdr:col>
      <xdr:colOff>457200</xdr:colOff>
      <xdr:row>47</xdr:row>
      <xdr:rowOff>241300</xdr:rowOff>
    </xdr:to>
    <xdr:graphicFrame macro="">
      <xdr:nvGraphicFramePr>
        <xdr:cNvPr id="7" name="Chart 6">
          <a:extLst>
            <a:ext uri="{FF2B5EF4-FFF2-40B4-BE49-F238E27FC236}">
              <a16:creationId xmlns:a16="http://schemas.microsoft.com/office/drawing/2014/main" id="{8C4EE94E-8E62-0D42-93CD-95E7BD1EE5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67</xdr:col>
      <xdr:colOff>889000</xdr:colOff>
      <xdr:row>58</xdr:row>
      <xdr:rowOff>1066800</xdr:rowOff>
    </xdr:from>
    <xdr:to>
      <xdr:col>69</xdr:col>
      <xdr:colOff>914400</xdr:colOff>
      <xdr:row>58</xdr:row>
      <xdr:rowOff>1524000</xdr:rowOff>
    </xdr:to>
    <xdr:sp macro="" textlink="">
      <xdr:nvSpPr>
        <xdr:cNvPr id="22" name="TextBox 21">
          <a:extLst>
            <a:ext uri="{FF2B5EF4-FFF2-40B4-BE49-F238E27FC236}">
              <a16:creationId xmlns:a16="http://schemas.microsoft.com/office/drawing/2014/main" id="{69B93077-01F4-CB4C-AF2D-E6ABC2E902FC}"/>
            </a:ext>
          </a:extLst>
        </xdr:cNvPr>
        <xdr:cNvSpPr txBox="1"/>
      </xdr:nvSpPr>
      <xdr:spPr>
        <a:xfrm>
          <a:off x="67513200" y="25158700"/>
          <a:ext cx="20955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&lt;----- Years -----&gt;</a:t>
          </a:r>
        </a:p>
      </xdr:txBody>
    </xdr:sp>
    <xdr:clientData/>
  </xdr:twoCellAnchor>
  <xdr:oneCellAnchor>
    <xdr:from>
      <xdr:col>81</xdr:col>
      <xdr:colOff>762000</xdr:colOff>
      <xdr:row>40</xdr:row>
      <xdr:rowOff>88900</xdr:rowOff>
    </xdr:from>
    <xdr:ext cx="762000" cy="261290"/>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E3F2E230-23B9-6D46-B4B4-46CAF1C82321}"/>
                </a:ext>
              </a:extLst>
            </xdr:cNvPr>
            <xdr:cNvSpPr txBox="1"/>
          </xdr:nvSpPr>
          <xdr:spPr>
            <a:xfrm>
              <a:off x="80733900" y="17843500"/>
              <a:ext cx="762000" cy="261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p>
                      <m:sSupPr>
                        <m:ctrlPr>
                          <a:rPr lang="en-US" sz="1600" b="1" i="1">
                            <a:latin typeface="Cambria Math" panose="02040503050406030204" pitchFamily="18" charset="0"/>
                          </a:rPr>
                        </m:ctrlPr>
                      </m:sSupPr>
                      <m:e>
                        <m:r>
                          <a:rPr lang="en-US" sz="1600" b="1" i="1">
                            <a:latin typeface="Cambria Math" panose="02040503050406030204" pitchFamily="18" charset="0"/>
                          </a:rPr>
                          <m:t>𝒇𝒕</m:t>
                        </m:r>
                      </m:e>
                      <m:sup>
                        <m:r>
                          <a:rPr lang="en-US" sz="1600" b="1" i="1">
                            <a:latin typeface="Cambria Math" panose="02040503050406030204" pitchFamily="18" charset="0"/>
                          </a:rPr>
                          <m:t>𝟑</m:t>
                        </m:r>
                      </m:sup>
                    </m:sSup>
                  </m:oMath>
                </m:oMathPara>
              </a14:m>
              <a:endParaRPr lang="en-US" sz="1600" b="1"/>
            </a:p>
          </xdr:txBody>
        </xdr:sp>
      </mc:Choice>
      <mc:Fallback xmlns="">
        <xdr:sp macro="" textlink="">
          <xdr:nvSpPr>
            <xdr:cNvPr id="23" name="TextBox 22">
              <a:extLst>
                <a:ext uri="{FF2B5EF4-FFF2-40B4-BE49-F238E27FC236}">
                  <a16:creationId xmlns:a16="http://schemas.microsoft.com/office/drawing/2014/main" id="{E3F2E230-23B9-6D46-B4B4-46CAF1C82321}"/>
                </a:ext>
              </a:extLst>
            </xdr:cNvPr>
            <xdr:cNvSpPr txBox="1"/>
          </xdr:nvSpPr>
          <xdr:spPr>
            <a:xfrm>
              <a:off x="80733900" y="17843500"/>
              <a:ext cx="762000" cy="261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〖𝒇𝒕〗^𝟑</a:t>
              </a:r>
              <a:endParaRPr lang="en-US" sz="1600" b="1"/>
            </a:p>
          </xdr:txBody>
        </xdr:sp>
      </mc:Fallback>
    </mc:AlternateContent>
    <xdr:clientData/>
  </xdr:oneCellAnchor>
  <xdr:twoCellAnchor>
    <xdr:from>
      <xdr:col>64</xdr:col>
      <xdr:colOff>647700</xdr:colOff>
      <xdr:row>44</xdr:row>
      <xdr:rowOff>1193800</xdr:rowOff>
    </xdr:from>
    <xdr:to>
      <xdr:col>65</xdr:col>
      <xdr:colOff>203200</xdr:colOff>
      <xdr:row>44</xdr:row>
      <xdr:rowOff>1651000</xdr:rowOff>
    </xdr:to>
    <xdr:sp macro="" textlink="">
      <xdr:nvSpPr>
        <xdr:cNvPr id="24" name="TextBox 23">
          <a:extLst>
            <a:ext uri="{FF2B5EF4-FFF2-40B4-BE49-F238E27FC236}">
              <a16:creationId xmlns:a16="http://schemas.microsoft.com/office/drawing/2014/main" id="{B8F178C1-4060-7842-AE35-29EF41F1FB29}"/>
            </a:ext>
          </a:extLst>
        </xdr:cNvPr>
        <xdr:cNvSpPr txBox="1"/>
      </xdr:nvSpPr>
      <xdr:spPr>
        <a:xfrm>
          <a:off x="64198500" y="20370800"/>
          <a:ext cx="736600" cy="457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800" b="1"/>
        </a:p>
      </xdr:txBody>
    </xdr:sp>
    <xdr:clientData/>
  </xdr:twoCellAnchor>
  <xdr:twoCellAnchor>
    <xdr:from>
      <xdr:col>80</xdr:col>
      <xdr:colOff>38100</xdr:colOff>
      <xdr:row>52</xdr:row>
      <xdr:rowOff>254000</xdr:rowOff>
    </xdr:from>
    <xdr:to>
      <xdr:col>82</xdr:col>
      <xdr:colOff>482600</xdr:colOff>
      <xdr:row>54</xdr:row>
      <xdr:rowOff>88900</xdr:rowOff>
    </xdr:to>
    <xdr:sp macro="" textlink="">
      <xdr:nvSpPr>
        <xdr:cNvPr id="25" name="TextBox 24">
          <a:extLst>
            <a:ext uri="{FF2B5EF4-FFF2-40B4-BE49-F238E27FC236}">
              <a16:creationId xmlns:a16="http://schemas.microsoft.com/office/drawing/2014/main" id="{1D07016B-49B0-194E-97E0-F4EC9E263441}"/>
            </a:ext>
          </a:extLst>
        </xdr:cNvPr>
        <xdr:cNvSpPr txBox="1"/>
      </xdr:nvSpPr>
      <xdr:spPr>
        <a:xfrm>
          <a:off x="79184500" y="23266400"/>
          <a:ext cx="2095500" cy="469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&lt;----- Years -----&gt;</a:t>
          </a:r>
        </a:p>
      </xdr:txBody>
    </xdr:sp>
    <xdr:clientData/>
  </xdr:twoCellAnchor>
  <xdr:twoCellAnchor>
    <xdr:from>
      <xdr:col>79</xdr:col>
      <xdr:colOff>482600</xdr:colOff>
      <xdr:row>48</xdr:row>
      <xdr:rowOff>266700</xdr:rowOff>
    </xdr:from>
    <xdr:to>
      <xdr:col>80</xdr:col>
      <xdr:colOff>698500</xdr:colOff>
      <xdr:row>50</xdr:row>
      <xdr:rowOff>215900</xdr:rowOff>
    </xdr:to>
    <xdr:sp macro="" textlink="">
      <xdr:nvSpPr>
        <xdr:cNvPr id="26" name="TextBox 25">
          <a:extLst>
            <a:ext uri="{FF2B5EF4-FFF2-40B4-BE49-F238E27FC236}">
              <a16:creationId xmlns:a16="http://schemas.microsoft.com/office/drawing/2014/main" id="{5FEE013D-530B-7F4F-ACD8-E2237F8C6518}"/>
            </a:ext>
          </a:extLst>
        </xdr:cNvPr>
        <xdr:cNvSpPr txBox="1"/>
      </xdr:nvSpPr>
      <xdr:spPr>
        <a:xfrm>
          <a:off x="69494400" y="211455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#1</a:t>
          </a:r>
        </a:p>
      </xdr:txBody>
    </xdr:sp>
    <xdr:clientData/>
  </xdr:twoCellAnchor>
  <xdr:twoCellAnchor>
    <xdr:from>
      <xdr:col>79</xdr:col>
      <xdr:colOff>457200</xdr:colOff>
      <xdr:row>44</xdr:row>
      <xdr:rowOff>584200</xdr:rowOff>
    </xdr:from>
    <xdr:to>
      <xdr:col>80</xdr:col>
      <xdr:colOff>673100</xdr:colOff>
      <xdr:row>44</xdr:row>
      <xdr:rowOff>1143000</xdr:rowOff>
    </xdr:to>
    <xdr:sp macro="" textlink="">
      <xdr:nvSpPr>
        <xdr:cNvPr id="27" name="TextBox 26">
          <a:extLst>
            <a:ext uri="{FF2B5EF4-FFF2-40B4-BE49-F238E27FC236}">
              <a16:creationId xmlns:a16="http://schemas.microsoft.com/office/drawing/2014/main" id="{B17234DE-9D18-674C-9BA0-17EE16438ADB}"/>
            </a:ext>
          </a:extLst>
        </xdr:cNvPr>
        <xdr:cNvSpPr txBox="1"/>
      </xdr:nvSpPr>
      <xdr:spPr>
        <a:xfrm>
          <a:off x="69469000" y="188849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#4</a:t>
          </a:r>
        </a:p>
      </xdr:txBody>
    </xdr:sp>
    <xdr:clientData/>
  </xdr:twoCellAnchor>
  <xdr:twoCellAnchor>
    <xdr:from>
      <xdr:col>79</xdr:col>
      <xdr:colOff>609600</xdr:colOff>
      <xdr:row>44</xdr:row>
      <xdr:rowOff>1358900</xdr:rowOff>
    </xdr:from>
    <xdr:to>
      <xdr:col>81</xdr:col>
      <xdr:colOff>0</xdr:colOff>
      <xdr:row>45</xdr:row>
      <xdr:rowOff>228600</xdr:rowOff>
    </xdr:to>
    <xdr:sp macro="" textlink="">
      <xdr:nvSpPr>
        <xdr:cNvPr id="29" name="TextBox 28">
          <a:extLst>
            <a:ext uri="{FF2B5EF4-FFF2-40B4-BE49-F238E27FC236}">
              <a16:creationId xmlns:a16="http://schemas.microsoft.com/office/drawing/2014/main" id="{BA69BF10-941C-7E4B-B032-4A4313185BD5}"/>
            </a:ext>
          </a:extLst>
        </xdr:cNvPr>
        <xdr:cNvSpPr txBox="1"/>
      </xdr:nvSpPr>
      <xdr:spPr>
        <a:xfrm>
          <a:off x="69621400" y="196596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#3</a:t>
          </a:r>
        </a:p>
      </xdr:txBody>
    </xdr:sp>
    <xdr:clientData/>
  </xdr:twoCellAnchor>
  <xdr:twoCellAnchor>
    <xdr:from>
      <xdr:col>79</xdr:col>
      <xdr:colOff>520700</xdr:colOff>
      <xdr:row>46</xdr:row>
      <xdr:rowOff>139700</xdr:rowOff>
    </xdr:from>
    <xdr:to>
      <xdr:col>80</xdr:col>
      <xdr:colOff>736600</xdr:colOff>
      <xdr:row>48</xdr:row>
      <xdr:rowOff>76200</xdr:rowOff>
    </xdr:to>
    <xdr:sp macro="" textlink="">
      <xdr:nvSpPr>
        <xdr:cNvPr id="30" name="TextBox 29">
          <a:extLst>
            <a:ext uri="{FF2B5EF4-FFF2-40B4-BE49-F238E27FC236}">
              <a16:creationId xmlns:a16="http://schemas.microsoft.com/office/drawing/2014/main" id="{E2A7BA79-8361-F644-84DA-821BBC712AA4}"/>
            </a:ext>
          </a:extLst>
        </xdr:cNvPr>
        <xdr:cNvSpPr txBox="1"/>
      </xdr:nvSpPr>
      <xdr:spPr>
        <a:xfrm>
          <a:off x="69532500" y="20396200"/>
          <a:ext cx="1041400" cy="558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Class #2</a:t>
          </a:r>
        </a:p>
      </xdr:txBody>
    </xdr:sp>
    <xdr:clientData/>
  </xdr:twoCellAnchor>
  <xdr:twoCellAnchor>
    <xdr:from>
      <xdr:col>83</xdr:col>
      <xdr:colOff>406400</xdr:colOff>
      <xdr:row>48</xdr:row>
      <xdr:rowOff>234950</xdr:rowOff>
    </xdr:from>
    <xdr:to>
      <xdr:col>94</xdr:col>
      <xdr:colOff>355600</xdr:colOff>
      <xdr:row>66</xdr:row>
      <xdr:rowOff>63500</xdr:rowOff>
    </xdr:to>
    <xdr:graphicFrame macro="">
      <xdr:nvGraphicFramePr>
        <xdr:cNvPr id="4" name="Chart 3">
          <a:extLst>
            <a:ext uri="{FF2B5EF4-FFF2-40B4-BE49-F238E27FC236}">
              <a16:creationId xmlns:a16="http://schemas.microsoft.com/office/drawing/2014/main" id="{5B72EFBF-D4E4-894E-9B25-4647CFE9ED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61</xdr:col>
      <xdr:colOff>63500</xdr:colOff>
      <xdr:row>36</xdr:row>
      <xdr:rowOff>584200</xdr:rowOff>
    </xdr:from>
    <xdr:to>
      <xdr:col>68</xdr:col>
      <xdr:colOff>431800</xdr:colOff>
      <xdr:row>42</xdr:row>
      <xdr:rowOff>76200</xdr:rowOff>
    </xdr:to>
    <xdr:sp macro="" textlink="">
      <xdr:nvSpPr>
        <xdr:cNvPr id="8" name="TextBox 7">
          <a:extLst>
            <a:ext uri="{FF2B5EF4-FFF2-40B4-BE49-F238E27FC236}">
              <a16:creationId xmlns:a16="http://schemas.microsoft.com/office/drawing/2014/main" id="{79B3CC06-6FE8-B746-B63B-481B2E9C8865}"/>
            </a:ext>
          </a:extLst>
        </xdr:cNvPr>
        <xdr:cNvSpPr txBox="1"/>
      </xdr:nvSpPr>
      <xdr:spPr>
        <a:xfrm>
          <a:off x="60083700" y="16802100"/>
          <a:ext cx="8407400" cy="172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a:t>Y = age of stand at time</a:t>
          </a:r>
          <a:r>
            <a:rPr lang="en-US" sz="2000" baseline="0"/>
            <a:t> of interest (</a:t>
          </a:r>
          <a:r>
            <a:rPr lang="en-US" sz="2000"/>
            <a:t>after N rotations of R years each).</a:t>
          </a:r>
        </a:p>
        <a:p>
          <a:r>
            <a:rPr lang="en-US" sz="2000"/>
            <a:t>A = amount of carbon in the stand at time of interest</a:t>
          </a:r>
        </a:p>
        <a:p>
          <a:r>
            <a:rPr lang="en-US" sz="2000"/>
            <a:t>R = length of stand rotation </a:t>
          </a:r>
        </a:p>
        <a:p>
          <a:r>
            <a:rPr lang="en-US" sz="2000"/>
            <a:t>r = proportion of carbon remaining in harvested material after a rotation period</a:t>
          </a:r>
        </a:p>
        <a:p>
          <a:r>
            <a:rPr lang="en-US" sz="2000"/>
            <a:t>N = number of rotations needed to reach the stand age at Y</a:t>
          </a:r>
        </a:p>
      </xdr:txBody>
    </xdr:sp>
    <xdr:clientData/>
  </xdr:twoCellAnchor>
  <xdr:twoCellAnchor>
    <xdr:from>
      <xdr:col>61</xdr:col>
      <xdr:colOff>88900</xdr:colOff>
      <xdr:row>42</xdr:row>
      <xdr:rowOff>101600</xdr:rowOff>
    </xdr:from>
    <xdr:to>
      <xdr:col>69</xdr:col>
      <xdr:colOff>647700</xdr:colOff>
      <xdr:row>44</xdr:row>
      <xdr:rowOff>1612900</xdr:rowOff>
    </xdr:to>
    <xdr:sp macro="" textlink="">
      <xdr:nvSpPr>
        <xdr:cNvPr id="9" name="TextBox 8">
          <a:extLst>
            <a:ext uri="{FF2B5EF4-FFF2-40B4-BE49-F238E27FC236}">
              <a16:creationId xmlns:a16="http://schemas.microsoft.com/office/drawing/2014/main" id="{73D6029F-2F84-F64E-A8D9-08309DC734B3}"/>
            </a:ext>
          </a:extLst>
        </xdr:cNvPr>
        <xdr:cNvSpPr txBox="1"/>
      </xdr:nvSpPr>
      <xdr:spPr>
        <a:xfrm>
          <a:off x="60109100" y="18554700"/>
          <a:ext cx="9715500" cy="223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a:t>P = smallest period of duration in this model, i.e. 20 years</a:t>
          </a:r>
        </a:p>
        <a:p>
          <a:r>
            <a:rPr lang="en-US" sz="2000"/>
            <a:t>S = amount of carbon after N rotations</a:t>
          </a:r>
        </a:p>
        <a:p>
          <a:r>
            <a:rPr lang="en-US" sz="2000"/>
            <a:t>X = number of years past last harvest </a:t>
          </a:r>
        </a:p>
        <a:p>
          <a:r>
            <a:rPr lang="en-US" sz="2000"/>
            <a:t>U = carbon in harvested materail plus new growth</a:t>
          </a:r>
          <a:r>
            <a:rPr lang="en-US" sz="2000" baseline="0"/>
            <a:t> on site over next 20 years</a:t>
          </a:r>
        </a:p>
        <a:p>
          <a:r>
            <a:rPr lang="en-US" sz="2000" baseline="0"/>
            <a:t>V = carbon at X years past Y in unharvested stand over next 20 years</a:t>
          </a:r>
        </a:p>
        <a:p>
          <a:endParaRPr lang="en-US" sz="2000"/>
        </a:p>
        <a:p>
          <a:endParaRPr 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0.00597</cdr:x>
      <cdr:y>0.00707</cdr:y>
    </cdr:from>
    <cdr:to>
      <cdr:x>0.06119</cdr:x>
      <cdr:y>0.07073</cdr:y>
    </cdr:to>
    <cdr:sp macro="" textlink="">
      <cdr:nvSpPr>
        <cdr:cNvPr id="2" name="TextBox 20">
          <a:extLst xmlns:a="http://schemas.openxmlformats.org/drawingml/2006/main">
            <a:ext uri="{FF2B5EF4-FFF2-40B4-BE49-F238E27FC236}">
              <a16:creationId xmlns:a16="http://schemas.microsoft.com/office/drawing/2014/main" id="{7BEB8AF6-67D1-2F4F-B74B-2A9493087149}"/>
            </a:ext>
          </a:extLst>
        </cdr:cNvPr>
        <cdr:cNvSpPr txBox="1"/>
      </cdr:nvSpPr>
      <cdr:spPr>
        <a:xfrm xmlns:a="http://schemas.openxmlformats.org/drawingml/2006/main">
          <a:off x="50800" y="50800"/>
          <a:ext cx="469900" cy="4572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endParaRPr lang="en-US" sz="1800" b="1"/>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88900</xdr:colOff>
      <xdr:row>12</xdr:row>
      <xdr:rowOff>88900</xdr:rowOff>
    </xdr:from>
    <xdr:to>
      <xdr:col>10</xdr:col>
      <xdr:colOff>863600</xdr:colOff>
      <xdr:row>35</xdr:row>
      <xdr:rowOff>114300</xdr:rowOff>
    </xdr:to>
    <xdr:sp macro="" textlink="">
      <xdr:nvSpPr>
        <xdr:cNvPr id="2" name="TextBox 1">
          <a:extLst>
            <a:ext uri="{FF2B5EF4-FFF2-40B4-BE49-F238E27FC236}">
              <a16:creationId xmlns:a16="http://schemas.microsoft.com/office/drawing/2014/main" id="{9D2DA84D-0676-1B4A-A1A4-B91ED8803D59}"/>
            </a:ext>
          </a:extLst>
        </xdr:cNvPr>
        <xdr:cNvSpPr txBox="1"/>
      </xdr:nvSpPr>
      <xdr:spPr>
        <a:xfrm>
          <a:off x="88900" y="3581400"/>
          <a:ext cx="8737600" cy="488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VOLCFGRS</a:t>
          </a:r>
          <a:r>
            <a:rPr lang="en-US" sz="1600" baseline="0"/>
            <a:t> = stem vol (inside bark, i.e. wood only)</a:t>
          </a:r>
          <a:endParaRPr lang="en-US" sz="1600"/>
        </a:p>
        <a:p>
          <a:r>
            <a:rPr lang="en-US" sz="1600"/>
            <a:t>Bark</a:t>
          </a:r>
          <a:r>
            <a:rPr lang="en-US" sz="1600" baseline="0"/>
            <a:t> Vol/stem Vol = 0.16 for white pine. See cell Coeff_1!BH2.</a:t>
          </a:r>
        </a:p>
        <a:p>
          <a:endParaRPr lang="en-US" sz="1600" baseline="0"/>
        </a:p>
        <a:p>
          <a:r>
            <a:rPr lang="en-US" sz="1600" baseline="0"/>
            <a:t>Bole Vol = Stem Vol + Bark Vol (This is a fairly standard forestry definition)</a:t>
          </a:r>
        </a:p>
        <a:p>
          <a:endParaRPr lang="en-US" sz="1600" baseline="0"/>
        </a:p>
        <a:p>
          <a:r>
            <a:rPr lang="en-US" sz="1600" baseline="0"/>
            <a:t>Stump Vol:                  Stump_vol_DOB = ( 0.005454153 × DBH2 × (  1 + (5.62462 × C ) + (8.50038 × C2) ) </a:t>
          </a:r>
        </a:p>
        <a:p>
          <a:endParaRPr lang="en-US" sz="1600" baseline="0"/>
        </a:p>
        <a:p>
          <a:r>
            <a:rPr lang="en-US" sz="1600" baseline="0"/>
            <a:t>		C: Raile_Stump_DOB_B1 in "coeff 1" tab</a:t>
          </a:r>
        </a:p>
        <a:p>
          <a:endParaRPr lang="en-US" sz="1600" baseline="0"/>
        </a:p>
        <a:p>
          <a:endParaRPr lang="en-US" sz="1600" baseline="0"/>
        </a:p>
        <a:p>
          <a:r>
            <a:rPr lang="en-US" sz="1600" baseline="0"/>
            <a:t>Top biomass = Tot biomass - Bole biomass - Stump Biomass - Foliage biomass. (foliage is needles or leaves)</a:t>
          </a:r>
        </a:p>
        <a:p>
          <a:endParaRPr lang="en-US" sz="1600" baseline="0"/>
        </a:p>
        <a:p>
          <a:r>
            <a:rPr lang="en-US" sz="1600" baseline="0"/>
            <a:t>Top = limbs, branches, twigs (this is my interpretation)</a:t>
          </a:r>
        </a:p>
        <a:p>
          <a:endParaRPr lang="en-US" sz="1600" baseline="0"/>
        </a:p>
        <a:p>
          <a:r>
            <a:rPr lang="en-US" sz="1600" baseline="0"/>
            <a:t>Note that the mass ratio of Top to (bole + stump) is usually between  0.085 and 0.099. It is unclear if the corresponding volume ratio would be the same.</a:t>
          </a:r>
        </a:p>
        <a:p>
          <a:endParaRPr lang="en-US" sz="1600" baseline="0"/>
        </a:p>
        <a:p>
          <a:endParaRPr lang="en-US" sz="1600"/>
        </a:p>
      </xdr:txBody>
    </xdr:sp>
    <xdr:clientData/>
  </xdr:twoCellAnchor>
  <xdr:twoCellAnchor>
    <xdr:from>
      <xdr:col>17</xdr:col>
      <xdr:colOff>0</xdr:colOff>
      <xdr:row>0</xdr:row>
      <xdr:rowOff>0</xdr:rowOff>
    </xdr:from>
    <xdr:to>
      <xdr:col>28</xdr:col>
      <xdr:colOff>711200</xdr:colOff>
      <xdr:row>60</xdr:row>
      <xdr:rowOff>38100</xdr:rowOff>
    </xdr:to>
    <xdr:sp macro="" textlink="" fLocksText="0">
      <xdr:nvSpPr>
        <xdr:cNvPr id="3" name="TextBox 4">
          <a:extLst>
            <a:ext uri="{FF2B5EF4-FFF2-40B4-BE49-F238E27FC236}">
              <a16:creationId xmlns:a16="http://schemas.microsoft.com/office/drawing/2014/main" id="{CE8A8432-FE60-0C4D-851C-9C2F1A715ADD}"/>
            </a:ext>
          </a:extLst>
        </xdr:cNvPr>
        <xdr:cNvSpPr>
          <a:spLocks noChangeArrowheads="1"/>
        </xdr:cNvSpPr>
      </xdr:nvSpPr>
      <xdr:spPr bwMode="auto">
        <a:xfrm>
          <a:off x="16827500" y="0"/>
          <a:ext cx="9791700" cy="13601700"/>
        </a:xfrm>
        <a:prstGeom prst="rect">
          <a:avLst/>
        </a:prstGeom>
        <a:solidFill>
          <a:srgbClr val="FFFF66"/>
        </a:solidFill>
        <a:ln w="9360">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algn="l" rtl="0">
            <a:lnSpc>
              <a:spcPts val="1900"/>
            </a:lnSpc>
            <a:defRPr sz="1000"/>
          </a:pPr>
          <a:r>
            <a:rPr lang="en-US" sz="1800" b="1" i="0" u="none" strike="noStrike" baseline="0">
              <a:solidFill>
                <a:srgbClr val="000000"/>
              </a:solidFill>
              <a:latin typeface="Times New Roman" pitchFamily="1" charset="0"/>
              <a:cs typeface="Times New Roman" pitchFamily="1" charset="0"/>
            </a:rPr>
            <a:t>The Estimation Process in this spreadsheet:</a:t>
          </a:r>
        </a:p>
        <a:p>
          <a:pPr algn="l" rtl="0">
            <a:lnSpc>
              <a:spcPts val="1900"/>
            </a:lnSpc>
            <a:defRPr sz="1000"/>
          </a:pPr>
          <a:endParaRPr lang="en-US" sz="18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This spreadsheet uses the following procedure to estimate biomass:</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1) VOLCFGRS (Feet3) = b(DBH2 × Total Tree Height). </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The </a:t>
          </a:r>
          <a:r>
            <a:rPr lang="en-US" sz="1200" b="1" i="0" u="none" strike="noStrike" baseline="0">
              <a:solidFill>
                <a:srgbClr val="FF0000"/>
              </a:solidFill>
              <a:latin typeface="Times New Roman" pitchFamily="1" charset="0"/>
              <a:cs typeface="Times New Roman" pitchFamily="1" charset="0"/>
            </a:rPr>
            <a:t>coefficient b</a:t>
          </a:r>
          <a:r>
            <a:rPr lang="en-US" sz="1200" b="0" i="0" u="none" strike="noStrike" baseline="0">
              <a:solidFill>
                <a:srgbClr val="FF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is based on a regression fit to TREE table data in the FIADB.  Species that had relative errors greater than 10% were omitted from this spreadsheet.  Note that FIA bases their VOLCFGRS estimates on region-specific equations.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2) VOLCFSND (Feet3) = VOLCFGRS × Cull%</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3) </a:t>
          </a:r>
          <a:r>
            <a:rPr lang="en-US" sz="1200" b="1" i="0" u="none" strike="noStrike" baseline="0">
              <a:solidFill>
                <a:srgbClr val="FF0000"/>
              </a:solidFill>
              <a:latin typeface="Times New Roman" pitchFamily="1" charset="0"/>
              <a:cs typeface="Times New Roman" pitchFamily="1" charset="0"/>
            </a:rPr>
            <a:t>DRYBIO_BOLE (lbs)</a:t>
          </a:r>
          <a:r>
            <a:rPr lang="en-US" sz="1200" b="1" i="0" u="none" strike="noStrike" baseline="0">
              <a:solidFill>
                <a:srgbClr val="000000"/>
              </a:solidFill>
              <a:latin typeface="Times New Roman" pitchFamily="1" charset="0"/>
              <a:cs typeface="Times New Roman" pitchFamily="1" charset="0"/>
            </a:rPr>
            <a:t> = (VOLCFSND × (BARK_VOL_PCT/100) × (BARK_SPGR_GREENVOL_DRYWT × 62.4)) +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(VOLCFSND × WOOD_SPGR_GREENVOL_DRYWT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BARK_SPGR_GREENVOL_DRYW (green specific gravity of the bark (green volume and oven-dry weight)</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WOOD_SPGR_GREENVOL_DRYWT (green specific gravity of the wood (green volume and oven-dry weight)</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specice specific gravity of the bark and the wood is presented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4)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Total_AG_biomass_Jenkins (lbs) = Exp(Jenkins_Total_B1 + Jenkins_Total_B2 * ln( DBH × 2.54 )) × 2.2046</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Each species specific Jenkins_Total_B1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Stem_ratio = Exp( Jenkins_Stem_Wood_Ratio_B1 + Jenkins_Stem_Wood_Ratio_B2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Jenkins_Stem_Wood_Ratio_B1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Bark_ratio = Exp( Jenkins_Stem_Bark_Ratio_B1 + Jenkins_Stem_Bark_Ratio_B2 / ( DBH × 2.54 ))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Each species specific Jenkins_Stem_Bark_Ratio_B1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Foliage_ratio = Exp( Jenkins_Foliage_Ratio_B1 + Jenkins_Foliage_Ratio_B2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Jenkins_Foliage_Ratio_B1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Stem_biomass_Jenkins (lbs) = Total_AG_biomass_Jenkins × Stem_ratio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Bark_biomass_Jenkins (lbs) = Total_AG_biomass_Jenkins × Bark_ratio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Bole_biomass_Jenkins (lbs) = Stem_biomass_Jenkins + Bark_biomass_Jenkins</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Foliage_biomass_Jenkins (lbs) = Total_AG_biomass_Jenkins × Foliage_ratio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Stump_biomass (lbs) = Stump Bark Biomass + Stump Wood Biomass</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Stump_vol_DIB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A2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A × B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B2)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 Raile_Stump_DIB_B1 in "coeff 1" tab</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 Raile_Stump_DIB_B2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Stump_vol_DOB =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1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C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C2)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C: Raile_Stump_DOB_B1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Bark Biomas = (Stump_vol_DOB - Stump_vol_DIB ) × Bark_SPGR_GREENVOL_DRYW × 62.4</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Wood Biomass = Stump_vol_DIB × Wood_SPGR_GREENVOL_DRYW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Top_biomass_Jenkins (lbs) = ( Total_AG_biomass_Jenkins - Stem_biomass_Jenkins - Bark_biomass_jenkins -    			         Foliage_biomass_Jenkins - Stump_biomass )</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5)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DRYBIO_TOP (lbs) </a:t>
          </a:r>
          <a:r>
            <a:rPr lang="en-US" sz="1200" b="1" i="0" u="none" strike="noStrike" baseline="0">
              <a:solidFill>
                <a:srgbClr val="000000"/>
              </a:solidFill>
              <a:latin typeface="Times New Roman" pitchFamily="1" charset="0"/>
              <a:cs typeface="Times New Roman" pitchFamily="1" charset="0"/>
            </a:rPr>
            <a:t>= Top_biomass_Jenkins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AdjFac = DRYBIO_BOLE / Bole_biomass_Jenkins</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DRYBIO_STUMP (lbs) </a:t>
          </a:r>
          <a:r>
            <a:rPr lang="en-US" sz="1200" b="1" i="0" u="none" strike="noStrike" baseline="0">
              <a:solidFill>
                <a:srgbClr val="000000"/>
              </a:solidFill>
              <a:latin typeface="Times New Roman" pitchFamily="1" charset="0"/>
              <a:cs typeface="Times New Roman" pitchFamily="1" charset="0"/>
            </a:rPr>
            <a:t>= Stump_biomass_Jenkins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DRYBIOT (lbs)</a:t>
          </a:r>
          <a:r>
            <a:rPr lang="en-US" sz="1200" b="1" i="0" u="none" strike="noStrike" baseline="0">
              <a:solidFill>
                <a:srgbClr val="000000"/>
              </a:solidFill>
              <a:latin typeface="Times New Roman" pitchFamily="1" charset="0"/>
              <a:cs typeface="Times New Roman" pitchFamily="1" charset="0"/>
            </a:rPr>
            <a:t> = DRYBIO_BOLE + DRYBIO_TOP + DRYBIOT_STUMP</a:t>
          </a: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xdr:txBody>
    </xdr:sp>
    <xdr:clientData/>
  </xdr:twoCellAnchor>
  <xdr:twoCellAnchor>
    <xdr:from>
      <xdr:col>3</xdr:col>
      <xdr:colOff>165100</xdr:colOff>
      <xdr:row>11</xdr:row>
      <xdr:rowOff>38100</xdr:rowOff>
    </xdr:from>
    <xdr:to>
      <xdr:col>10</xdr:col>
      <xdr:colOff>876300</xdr:colOff>
      <xdr:row>12</xdr:row>
      <xdr:rowOff>114300</xdr:rowOff>
    </xdr:to>
    <xdr:sp macro="" textlink="">
      <xdr:nvSpPr>
        <xdr:cNvPr id="4" name="TextBox 3">
          <a:extLst>
            <a:ext uri="{FF2B5EF4-FFF2-40B4-BE49-F238E27FC236}">
              <a16:creationId xmlns:a16="http://schemas.microsoft.com/office/drawing/2014/main" id="{4401CD4E-602D-4041-8127-80DE0630FA28}"/>
            </a:ext>
          </a:extLst>
        </xdr:cNvPr>
        <xdr:cNvSpPr txBox="1"/>
      </xdr:nvSpPr>
      <xdr:spPr>
        <a:xfrm>
          <a:off x="3098800" y="3276600"/>
          <a:ext cx="5740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Trunk Vol = bole + stump (outside bark)</a:t>
          </a:r>
        </a:p>
      </xdr:txBody>
    </xdr:sp>
    <xdr:clientData/>
  </xdr:twoCellAnchor>
  <xdr:twoCellAnchor>
    <xdr:from>
      <xdr:col>0</xdr:col>
      <xdr:colOff>12700</xdr:colOff>
      <xdr:row>43</xdr:row>
      <xdr:rowOff>50800</xdr:rowOff>
    </xdr:from>
    <xdr:to>
      <xdr:col>14</xdr:col>
      <xdr:colOff>787400</xdr:colOff>
      <xdr:row>57</xdr:row>
      <xdr:rowOff>50800</xdr:rowOff>
    </xdr:to>
    <xdr:sp macro="" textlink="">
      <xdr:nvSpPr>
        <xdr:cNvPr id="5" name="TextBox 4">
          <a:extLst>
            <a:ext uri="{FF2B5EF4-FFF2-40B4-BE49-F238E27FC236}">
              <a16:creationId xmlns:a16="http://schemas.microsoft.com/office/drawing/2014/main" id="{54ED534C-45D9-934F-A7C7-B353F6996B97}"/>
            </a:ext>
          </a:extLst>
        </xdr:cNvPr>
        <xdr:cNvSpPr txBox="1"/>
      </xdr:nvSpPr>
      <xdr:spPr>
        <a:xfrm>
          <a:off x="12700" y="10160000"/>
          <a:ext cx="14312900" cy="284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This worksheet allows the user to</a:t>
          </a:r>
          <a:r>
            <a:rPr lang="en-US" sz="1600" b="1" baseline="0"/>
            <a:t> </a:t>
          </a:r>
          <a:r>
            <a:rPr lang="en-US" sz="1600" b="1"/>
            <a:t>compare the trunk volume of a white pine computed through the FIA and the direct modeling method of the Native Tree Society (NTS) that employs a trunk form factor. Thus for a sample pine, its DBH,</a:t>
          </a:r>
          <a:r>
            <a:rPr lang="en-US" sz="1600" b="1" baseline="0"/>
            <a:t> height, and trunk form factor must be known to be able to make the comparison.  This worksheet applies the FIA model to get full above ground biomass as shown in cell O2.  </a:t>
          </a:r>
        </a:p>
        <a:p>
          <a:endParaRPr lang="en-US" sz="1600" b="1" baseline="0"/>
        </a:p>
        <a:p>
          <a:r>
            <a:rPr lang="en-US" sz="1600" b="1" baseline="0"/>
            <a:t>The volume comparisons are cells </a:t>
          </a:r>
          <a:r>
            <a:rPr lang="en-US" sz="1600" b="1" baseline="0">
              <a:solidFill>
                <a:srgbClr val="FF0000"/>
              </a:solidFill>
            </a:rPr>
            <a:t>K10</a:t>
          </a:r>
          <a:r>
            <a:rPr lang="en-US" sz="1600" b="1" baseline="0"/>
            <a:t> and </a:t>
          </a:r>
          <a:r>
            <a:rPr lang="en-US" sz="1600" b="1" baseline="0">
              <a:solidFill>
                <a:srgbClr val="FF0000"/>
              </a:solidFill>
            </a:rPr>
            <a:t>L37</a:t>
          </a:r>
          <a:r>
            <a:rPr lang="en-US" sz="1600" b="1" baseline="0"/>
            <a:t>. </a:t>
          </a:r>
        </a:p>
        <a:p>
          <a:endParaRPr lang="en-US" sz="1600" b="1" baseline="0"/>
        </a:p>
        <a:p>
          <a:r>
            <a:rPr lang="en-US" sz="1600" b="1" baseline="0"/>
            <a:t>To get a direct NTS to FIA stump volume comparison enter the circumference at the base and one foot above (if available) in cells G42 and I42 above, The comparison will be to that in cell L25.  </a:t>
          </a:r>
          <a:endParaRPr lang="en-US" sz="16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A06DA-52B9-4D43-BFA6-B32384D96914}">
  <dimension ref="A1"/>
  <sheetViews>
    <sheetView topLeftCell="A3" workbookViewId="0">
      <selection activeCell="I3" sqref="I3"/>
    </sheetView>
  </sheetViews>
  <sheetFormatPr baseColWidth="10" defaultRowHeight="16"/>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FEF85-4706-F742-9344-687236072781}">
  <dimension ref="B1:L10"/>
  <sheetViews>
    <sheetView workbookViewId="0">
      <selection activeCell="C3" sqref="C3"/>
    </sheetView>
  </sheetViews>
  <sheetFormatPr baseColWidth="10" defaultRowHeight="16"/>
  <cols>
    <col min="3" max="3" width="15.1640625" customWidth="1"/>
    <col min="7" max="7" width="16" customWidth="1"/>
  </cols>
  <sheetData>
    <row r="1" spans="2:12">
      <c r="B1" s="345" t="s">
        <v>295</v>
      </c>
      <c r="C1" s="346"/>
      <c r="D1" s="346"/>
      <c r="E1" s="346"/>
      <c r="F1" s="346"/>
      <c r="G1" s="346"/>
      <c r="H1" s="346"/>
      <c r="I1" s="346"/>
      <c r="J1" s="346"/>
      <c r="K1" s="346"/>
      <c r="L1" s="347"/>
    </row>
    <row r="2" spans="2:12" ht="17" thickBot="1">
      <c r="B2" s="71" t="s">
        <v>294</v>
      </c>
      <c r="C2" s="72" t="s">
        <v>296</v>
      </c>
      <c r="D2" s="72" t="s">
        <v>293</v>
      </c>
      <c r="E2" s="72" t="s">
        <v>0</v>
      </c>
      <c r="F2" s="72" t="s">
        <v>69</v>
      </c>
      <c r="G2" s="72" t="s">
        <v>297</v>
      </c>
      <c r="H2" s="72" t="s">
        <v>298</v>
      </c>
      <c r="I2" s="72" t="s">
        <v>299</v>
      </c>
      <c r="J2" s="72" t="s">
        <v>300</v>
      </c>
      <c r="K2" s="348"/>
      <c r="L2" s="349" t="s">
        <v>301</v>
      </c>
    </row>
    <row r="3" spans="2:12">
      <c r="B3" s="343">
        <v>1</v>
      </c>
      <c r="C3" s="344">
        <f>Constructions!H11</f>
        <v>5.7595865315812871</v>
      </c>
      <c r="D3" s="343">
        <f>Constructions!K11</f>
        <v>96</v>
      </c>
      <c r="E3" s="343">
        <f>Constructions!L11</f>
        <v>0.435</v>
      </c>
      <c r="F3" s="344">
        <f>Constructions!M11</f>
        <v>110.23848621446582</v>
      </c>
      <c r="G3" s="344">
        <f>Constructions!AT88</f>
        <v>29.6</v>
      </c>
      <c r="H3" s="343">
        <f t="shared" ref="H3:H8" si="0">C3*G3</f>
        <v>170.4837613348061</v>
      </c>
      <c r="I3" s="343">
        <f t="shared" ref="I3:I8" si="1">D3*G3</f>
        <v>2841.6000000000004</v>
      </c>
      <c r="J3" s="343">
        <f>E3</f>
        <v>0.435</v>
      </c>
      <c r="K3" s="343"/>
      <c r="L3" s="343"/>
    </row>
    <row r="4" spans="2:12">
      <c r="B4" s="342">
        <v>2</v>
      </c>
      <c r="C4" s="149">
        <f>Constructions!H25</f>
        <v>7.0162235930172052</v>
      </c>
      <c r="D4" s="342">
        <f>Constructions!K25</f>
        <v>100</v>
      </c>
      <c r="E4" s="342">
        <f>Constructions!L25</f>
        <v>0.435</v>
      </c>
      <c r="F4" s="149">
        <f>Constructions!M25</f>
        <v>170.40653051540534</v>
      </c>
      <c r="G4" s="149">
        <f>Constructions!AT89</f>
        <v>15.12</v>
      </c>
      <c r="H4" s="342">
        <f t="shared" si="0"/>
        <v>106.08530072642014</v>
      </c>
      <c r="I4" s="342">
        <f t="shared" si="1"/>
        <v>1512</v>
      </c>
      <c r="J4" s="343">
        <f t="shared" ref="J4:J9" si="2">E4</f>
        <v>0.435</v>
      </c>
      <c r="K4" s="342"/>
      <c r="L4" s="342"/>
    </row>
    <row r="5" spans="2:12">
      <c r="B5" s="342">
        <v>3</v>
      </c>
      <c r="C5" s="149">
        <f>Constructions!H39</f>
        <v>7.644542123735163</v>
      </c>
      <c r="D5" s="342">
        <f>Constructions!K39</f>
        <v>126</v>
      </c>
      <c r="E5" s="342">
        <f>Constructions!L39</f>
        <v>0.435</v>
      </c>
      <c r="F5" s="149">
        <f>Constructions!M39</f>
        <v>254.89005689617056</v>
      </c>
      <c r="G5" s="149">
        <f>Constructions!AT90</f>
        <v>25.2</v>
      </c>
      <c r="H5" s="342">
        <f t="shared" si="0"/>
        <v>192.64246151812611</v>
      </c>
      <c r="I5" s="342">
        <f t="shared" si="1"/>
        <v>3175.2</v>
      </c>
      <c r="J5" s="343">
        <f t="shared" si="2"/>
        <v>0.435</v>
      </c>
      <c r="K5" s="342"/>
      <c r="L5" s="342"/>
    </row>
    <row r="6" spans="2:12">
      <c r="B6" s="342">
        <v>4</v>
      </c>
      <c r="C6" s="149">
        <f>Constructions!H53</f>
        <v>8.6917396749317621</v>
      </c>
      <c r="D6" s="342">
        <f>Constructions!K53</f>
        <v>132</v>
      </c>
      <c r="E6" s="342">
        <f>Constructions!L53</f>
        <v>0.435</v>
      </c>
      <c r="F6" s="149">
        <f>Constructions!M53</f>
        <v>345.19678705975247</v>
      </c>
      <c r="G6" s="149">
        <f>Constructions!AT91</f>
        <v>10.08</v>
      </c>
      <c r="H6" s="342">
        <f t="shared" si="0"/>
        <v>87.612735923312158</v>
      </c>
      <c r="I6" s="342">
        <f t="shared" si="1"/>
        <v>1330.56</v>
      </c>
      <c r="J6" s="343">
        <f t="shared" si="2"/>
        <v>0.435</v>
      </c>
      <c r="K6" s="342"/>
      <c r="L6" s="342"/>
    </row>
    <row r="7" spans="2:12">
      <c r="B7" s="342">
        <v>5</v>
      </c>
      <c r="C7" s="149">
        <f>Constructions!H67</f>
        <v>10.712830948741194</v>
      </c>
      <c r="D7" s="342">
        <f>Constructions!K67</f>
        <v>155</v>
      </c>
      <c r="E7" s="342">
        <f>Constructions!L67</f>
        <v>0.435</v>
      </c>
      <c r="F7" s="149">
        <f>Constructions!M67</f>
        <v>615.77151427784111</v>
      </c>
      <c r="G7" s="149">
        <f>Constructions!AT92</f>
        <v>3</v>
      </c>
      <c r="H7" s="342">
        <f t="shared" si="0"/>
        <v>32.138492846223585</v>
      </c>
      <c r="I7" s="342">
        <f t="shared" si="1"/>
        <v>465</v>
      </c>
      <c r="J7" s="343">
        <f t="shared" si="2"/>
        <v>0.435</v>
      </c>
      <c r="K7" s="342"/>
      <c r="L7" s="342"/>
    </row>
    <row r="8" spans="2:12" ht="17" thickBot="1">
      <c r="B8" s="350">
        <v>6</v>
      </c>
      <c r="C8" s="322">
        <f>Constructions!H81</f>
        <v>11.833332328521555</v>
      </c>
      <c r="D8" s="350">
        <f>Constructions!K81</f>
        <v>151</v>
      </c>
      <c r="E8" s="350">
        <f>Constructions!L81</f>
        <v>0.435</v>
      </c>
      <c r="F8" s="322">
        <f>Constructions!M81</f>
        <v>731.93154201566711</v>
      </c>
      <c r="G8" s="322">
        <f>Constructions!AT93</f>
        <v>1</v>
      </c>
      <c r="H8" s="350">
        <f t="shared" si="0"/>
        <v>11.833332328521555</v>
      </c>
      <c r="I8" s="350">
        <f t="shared" si="1"/>
        <v>151</v>
      </c>
      <c r="J8" s="203">
        <f t="shared" si="2"/>
        <v>0.435</v>
      </c>
      <c r="K8" s="350"/>
      <c r="L8" s="350"/>
    </row>
    <row r="9" spans="2:12" ht="17" thickBot="1">
      <c r="B9" s="327"/>
      <c r="C9" s="351"/>
      <c r="D9" s="351"/>
      <c r="E9" s="351">
        <f>E8</f>
        <v>0.435</v>
      </c>
      <c r="F9" s="351"/>
      <c r="G9" s="351" t="s">
        <v>302</v>
      </c>
      <c r="H9" s="351">
        <f>SUM(H3:H8)/SUM(G3:G8)</f>
        <v>7.1523343413977347</v>
      </c>
      <c r="I9" s="359">
        <f>SUM(I3:I8)/(SUM(G3:G8))</f>
        <v>112.80190476190477</v>
      </c>
      <c r="J9" s="24">
        <f t="shared" si="2"/>
        <v>0.435</v>
      </c>
      <c r="K9" s="360"/>
      <c r="L9" s="328">
        <f>H9^2/(4*PI())*I9*J9</f>
        <v>199.75214034731363</v>
      </c>
    </row>
    <row r="10" spans="2:12">
      <c r="G10" s="317"/>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E2C03-54E7-974A-9C57-D45123100BD7}">
  <dimension ref="A1"/>
  <sheetViews>
    <sheetView topLeftCell="A24" workbookViewId="0">
      <selection activeCell="P79" sqref="P79"/>
    </sheetView>
  </sheetViews>
  <sheetFormatPr baseColWidth="10" defaultRowHeight="16"/>
  <sheetData>
    <row r="1" ht="26" customHeight="1"/>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37FD0-57DA-544C-B913-BD4B83DDCA69}">
  <dimension ref="A1:CJ279"/>
  <sheetViews>
    <sheetView showGridLines="0" tabSelected="1" topLeftCell="BD1" workbookViewId="0">
      <selection activeCell="BQ4" sqref="BQ4"/>
    </sheetView>
  </sheetViews>
  <sheetFormatPr baseColWidth="10" defaultRowHeight="21"/>
  <cols>
    <col min="2" max="2" width="12" customWidth="1"/>
    <col min="3" max="3" width="19.6640625" customWidth="1"/>
    <col min="4" max="4" width="13.1640625" customWidth="1"/>
    <col min="5" max="5" width="18.1640625" customWidth="1"/>
    <col min="6" max="6" width="15.83203125" style="113" customWidth="1"/>
    <col min="7" max="7" width="13.33203125" customWidth="1"/>
    <col min="8" max="8" width="20.5" style="2" customWidth="1"/>
    <col min="9" max="10" width="12.1640625" customWidth="1"/>
    <col min="11" max="11" width="12.1640625" style="113" customWidth="1"/>
    <col min="12" max="12" width="13.5" style="130" bestFit="1" customWidth="1"/>
    <col min="13" max="13" width="15.6640625" style="112" customWidth="1"/>
    <col min="14" max="18" width="15" customWidth="1"/>
    <col min="19" max="19" width="19.33203125" customWidth="1"/>
    <col min="20" max="20" width="15.6640625" customWidth="1"/>
    <col min="21" max="21" width="15.33203125" customWidth="1"/>
    <col min="22" max="22" width="14.83203125" customWidth="1"/>
    <col min="24" max="24" width="15" customWidth="1"/>
    <col min="25" max="25" width="14" customWidth="1"/>
    <col min="26" max="26" width="13.6640625" customWidth="1"/>
    <col min="27" max="27" width="11.33203125" customWidth="1"/>
    <col min="39" max="39" width="14.83203125" customWidth="1"/>
    <col min="40" max="40" width="12.83203125" customWidth="1"/>
    <col min="41" max="41" width="16.5" customWidth="1"/>
    <col min="42" max="42" width="14.5" customWidth="1"/>
    <col min="43" max="43" width="12.83203125" customWidth="1"/>
    <col min="44" max="44" width="15.1640625" customWidth="1"/>
    <col min="45" max="45" width="14.1640625" customWidth="1"/>
    <col min="46" max="47" width="16.83203125" bestFit="1" customWidth="1"/>
    <col min="49" max="49" width="13.33203125" customWidth="1"/>
    <col min="50" max="50" width="13" customWidth="1"/>
    <col min="51" max="51" width="19.83203125" customWidth="1"/>
    <col min="52" max="52" width="17" customWidth="1"/>
    <col min="53" max="53" width="14.33203125" customWidth="1"/>
    <col min="54" max="54" width="16.83203125" customWidth="1"/>
    <col min="55" max="55" width="16.33203125" customWidth="1"/>
    <col min="56" max="56" width="12.6640625" customWidth="1"/>
    <col min="57" max="57" width="12.33203125" customWidth="1"/>
    <col min="58" max="58" width="13.83203125" customWidth="1"/>
    <col min="59" max="59" width="14.83203125" customWidth="1"/>
    <col min="60" max="60" width="14.1640625" customWidth="1"/>
    <col min="61" max="61" width="15.5" customWidth="1"/>
    <col min="62" max="62" width="17.83203125" customWidth="1"/>
    <col min="63" max="63" width="12.5" customWidth="1"/>
    <col min="64" max="64" width="16.6640625" customWidth="1"/>
    <col min="65" max="65" width="15.5" customWidth="1"/>
    <col min="66" max="66" width="15.33203125" customWidth="1"/>
    <col min="67" max="67" width="15.1640625" customWidth="1"/>
    <col min="68" max="68" width="15.5" customWidth="1"/>
    <col min="69" max="69" width="14.83203125" customWidth="1"/>
    <col min="70" max="70" width="18.33203125" customWidth="1"/>
    <col min="71" max="71" width="23.33203125" customWidth="1"/>
    <col min="72" max="72" width="16.1640625" customWidth="1"/>
  </cols>
  <sheetData>
    <row r="1" spans="1:72" ht="30" thickBot="1">
      <c r="A1" s="257" t="s">
        <v>277</v>
      </c>
      <c r="B1" s="303"/>
      <c r="C1" s="303"/>
      <c r="D1" s="303"/>
      <c r="E1" s="303"/>
      <c r="F1" s="304"/>
      <c r="G1" s="303"/>
      <c r="H1" s="305"/>
      <c r="I1" s="306"/>
      <c r="J1" s="25"/>
      <c r="K1" s="280"/>
      <c r="L1" s="281"/>
      <c r="M1" s="307"/>
      <c r="N1" s="36"/>
      <c r="P1" s="129" t="s">
        <v>303</v>
      </c>
      <c r="Q1" s="215"/>
      <c r="R1" s="352">
        <v>25</v>
      </c>
      <c r="S1" s="37" t="s">
        <v>304</v>
      </c>
      <c r="T1" s="352">
        <v>50</v>
      </c>
      <c r="U1" s="37" t="s">
        <v>305</v>
      </c>
      <c r="V1" s="362">
        <v>0.435</v>
      </c>
      <c r="W1" s="225" t="s">
        <v>199</v>
      </c>
      <c r="X1" s="25"/>
      <c r="Y1" s="36"/>
      <c r="AB1" s="129" t="s">
        <v>358</v>
      </c>
      <c r="AC1" s="25"/>
      <c r="AD1" s="25"/>
      <c r="AE1" s="25"/>
      <c r="AF1" s="25"/>
      <c r="AG1" s="25"/>
      <c r="AH1" s="36"/>
      <c r="AK1" s="225" t="s">
        <v>198</v>
      </c>
      <c r="AL1" s="25"/>
      <c r="AM1" s="25"/>
      <c r="AN1" s="25"/>
      <c r="AO1" s="36"/>
    </row>
    <row r="2" spans="1:72" ht="27" thickBot="1">
      <c r="A2" s="257" t="s">
        <v>220</v>
      </c>
      <c r="B2" s="25"/>
      <c r="C2" s="25"/>
      <c r="D2" s="36"/>
      <c r="E2" s="228"/>
      <c r="F2" s="229"/>
      <c r="G2" s="228"/>
      <c r="H2" s="230"/>
      <c r="I2" s="233"/>
      <c r="J2" s="30"/>
      <c r="K2" s="234"/>
      <c r="L2" s="235"/>
      <c r="M2" s="236"/>
      <c r="N2" s="24"/>
      <c r="W2" s="167"/>
      <c r="X2" s="171"/>
      <c r="Y2" s="168"/>
      <c r="AB2" s="38"/>
      <c r="AC2" s="38" t="s">
        <v>227</v>
      </c>
      <c r="AD2" s="38" t="s">
        <v>228</v>
      </c>
      <c r="AE2" s="38" t="s">
        <v>229</v>
      </c>
      <c r="AF2" s="38" t="s">
        <v>230</v>
      </c>
      <c r="AG2" s="38" t="s">
        <v>279</v>
      </c>
      <c r="AH2" s="38" t="s">
        <v>280</v>
      </c>
      <c r="AK2" s="257" t="s">
        <v>208</v>
      </c>
      <c r="AL2" s="258"/>
      <c r="AM2" s="258"/>
      <c r="AN2" s="258"/>
      <c r="AO2" s="259"/>
      <c r="BB2" s="256" t="s">
        <v>308</v>
      </c>
      <c r="BC2" s="335"/>
      <c r="BD2" s="336"/>
      <c r="BE2" s="337"/>
      <c r="BF2" s="25"/>
      <c r="BG2" s="25"/>
      <c r="BH2" s="36"/>
      <c r="BJ2" s="256" t="s">
        <v>309</v>
      </c>
      <c r="BK2" s="335"/>
      <c r="BL2" s="336"/>
      <c r="BM2" s="337"/>
      <c r="BN2" s="25"/>
      <c r="BO2" s="25"/>
      <c r="BP2" s="36"/>
      <c r="BR2" s="256" t="s">
        <v>361</v>
      </c>
      <c r="BS2" s="473"/>
    </row>
    <row r="3" spans="1:72" ht="133" thickBot="1">
      <c r="A3" s="226" t="s">
        <v>1</v>
      </c>
      <c r="B3" s="128" t="s">
        <v>4</v>
      </c>
      <c r="C3" s="128" t="s">
        <v>10</v>
      </c>
      <c r="D3" s="128" t="s">
        <v>172</v>
      </c>
      <c r="E3" s="128" t="s">
        <v>173</v>
      </c>
      <c r="F3" s="227" t="s">
        <v>163</v>
      </c>
      <c r="G3" s="128" t="s">
        <v>174</v>
      </c>
      <c r="H3" s="128" t="s">
        <v>7</v>
      </c>
      <c r="I3" s="128" t="s">
        <v>5</v>
      </c>
      <c r="J3" s="128" t="s">
        <v>175</v>
      </c>
      <c r="K3" s="227" t="s">
        <v>8</v>
      </c>
      <c r="L3" s="231" t="s">
        <v>166</v>
      </c>
      <c r="M3" s="232" t="s">
        <v>6</v>
      </c>
      <c r="N3" s="133" t="s">
        <v>176</v>
      </c>
      <c r="O3" s="133" t="s">
        <v>177</v>
      </c>
      <c r="P3" s="133" t="s">
        <v>169</v>
      </c>
      <c r="Q3" s="133" t="s">
        <v>168</v>
      </c>
      <c r="R3" s="133" t="s">
        <v>9</v>
      </c>
      <c r="S3" s="133" t="s">
        <v>178</v>
      </c>
      <c r="T3" s="133" t="s">
        <v>179</v>
      </c>
      <c r="U3" s="136" t="s">
        <v>170</v>
      </c>
      <c r="V3" s="148" t="s">
        <v>171</v>
      </c>
      <c r="W3" s="155" t="s">
        <v>181</v>
      </c>
      <c r="X3" s="133" t="s">
        <v>180</v>
      </c>
      <c r="Y3" s="156" t="s">
        <v>182</v>
      </c>
      <c r="AB3" s="462" t="s">
        <v>360</v>
      </c>
      <c r="AC3" s="150" t="s">
        <v>359</v>
      </c>
      <c r="AD3" s="150" t="s">
        <v>359</v>
      </c>
      <c r="AE3" s="150" t="s">
        <v>359</v>
      </c>
      <c r="AF3" s="150" t="s">
        <v>359</v>
      </c>
      <c r="AG3" s="150" t="s">
        <v>359</v>
      </c>
      <c r="AH3" s="150" t="s">
        <v>359</v>
      </c>
      <c r="AK3" s="155" t="s">
        <v>183</v>
      </c>
      <c r="AL3" s="133" t="s">
        <v>185</v>
      </c>
      <c r="AM3" s="133" t="s">
        <v>184</v>
      </c>
      <c r="AN3" s="133" t="s">
        <v>265</v>
      </c>
      <c r="AO3" s="133" t="s">
        <v>266</v>
      </c>
      <c r="AP3" s="133" t="s">
        <v>267</v>
      </c>
      <c r="AQ3" s="133" t="s">
        <v>268</v>
      </c>
      <c r="AR3" s="133" t="s">
        <v>269</v>
      </c>
      <c r="AS3" s="133" t="s">
        <v>259</v>
      </c>
      <c r="AT3" s="133" t="s">
        <v>270</v>
      </c>
      <c r="AU3" s="133" t="s">
        <v>271</v>
      </c>
      <c r="AV3" s="133" t="s">
        <v>272</v>
      </c>
      <c r="AW3" s="156" t="s">
        <v>273</v>
      </c>
      <c r="BB3" s="150" t="s">
        <v>4</v>
      </c>
      <c r="BC3" s="151" t="s">
        <v>251</v>
      </c>
      <c r="BD3" s="151" t="s">
        <v>252</v>
      </c>
      <c r="BE3" s="151" t="s">
        <v>253</v>
      </c>
      <c r="BF3" s="151" t="s">
        <v>254</v>
      </c>
      <c r="BG3" s="151" t="s">
        <v>255</v>
      </c>
      <c r="BH3" s="152" t="s">
        <v>256</v>
      </c>
      <c r="BJ3" s="150" t="str">
        <f>BB3</f>
        <v>Age-yrs</v>
      </c>
      <c r="BK3" s="151" t="s">
        <v>251</v>
      </c>
      <c r="BL3" s="151" t="s">
        <v>252</v>
      </c>
      <c r="BM3" s="151" t="s">
        <v>253</v>
      </c>
      <c r="BN3" s="151" t="s">
        <v>254</v>
      </c>
      <c r="BO3" s="151" t="s">
        <v>255</v>
      </c>
      <c r="BP3" s="152" t="s">
        <v>256</v>
      </c>
      <c r="BR3" s="466" t="str">
        <f t="shared" ref="BR3:BR14" si="0">BJ3</f>
        <v>Age-yrs</v>
      </c>
      <c r="BS3" s="216" t="s">
        <v>362</v>
      </c>
    </row>
    <row r="4" spans="1:72">
      <c r="A4" s="137" t="s">
        <v>3</v>
      </c>
      <c r="B4" s="114">
        <v>0</v>
      </c>
      <c r="C4" s="219">
        <v>0</v>
      </c>
      <c r="D4" s="114">
        <v>0</v>
      </c>
      <c r="E4" s="114">
        <v>0</v>
      </c>
      <c r="F4" s="115">
        <f>E4*2</f>
        <v>0</v>
      </c>
      <c r="G4" s="114">
        <v>0</v>
      </c>
      <c r="H4" s="116">
        <v>0</v>
      </c>
      <c r="I4" s="114">
        <v>0</v>
      </c>
      <c r="J4" s="219">
        <v>0</v>
      </c>
      <c r="K4" s="115">
        <v>0</v>
      </c>
      <c r="L4" s="353">
        <v>0</v>
      </c>
      <c r="M4" s="120">
        <v>0</v>
      </c>
      <c r="N4" s="114">
        <v>0</v>
      </c>
      <c r="O4" s="114">
        <f>N4/$M$56</f>
        <v>0</v>
      </c>
      <c r="P4" s="114">
        <f>M4/$M$28</f>
        <v>0</v>
      </c>
      <c r="Q4" s="114">
        <v>0</v>
      </c>
      <c r="R4" s="114">
        <v>0</v>
      </c>
      <c r="S4" s="114">
        <v>0</v>
      </c>
      <c r="T4" s="114">
        <v>0</v>
      </c>
      <c r="U4" s="355">
        <v>0</v>
      </c>
      <c r="V4" s="153">
        <v>0</v>
      </c>
      <c r="W4" s="318"/>
      <c r="X4" s="118"/>
      <c r="Y4" s="157"/>
      <c r="AB4" s="464" t="s">
        <v>3</v>
      </c>
      <c r="AC4" s="339">
        <f>R4</f>
        <v>0</v>
      </c>
      <c r="AD4" s="339">
        <f>R18</f>
        <v>0</v>
      </c>
      <c r="AE4" s="339">
        <f>R32</f>
        <v>0</v>
      </c>
      <c r="AF4" s="339">
        <f>R46</f>
        <v>0</v>
      </c>
      <c r="AG4" s="339">
        <f>R60</f>
        <v>0</v>
      </c>
      <c r="AH4" s="340">
        <f>R74</f>
        <v>0</v>
      </c>
      <c r="AK4" s="161">
        <v>1</v>
      </c>
      <c r="AL4" s="185" t="s">
        <v>2</v>
      </c>
      <c r="AM4" s="149">
        <f>Y5</f>
        <v>385.15496228238675</v>
      </c>
      <c r="AN4" s="149">
        <f>M5</f>
        <v>0.7592182246175333</v>
      </c>
      <c r="AO4" s="149">
        <f>AM4*AN4</f>
        <v>292.41666666666669</v>
      </c>
      <c r="AP4" s="149">
        <f>W5</f>
        <v>6</v>
      </c>
      <c r="AQ4" s="149">
        <f>AP4^2*PI()</f>
        <v>113.09733552923255</v>
      </c>
      <c r="AR4" s="149">
        <f t="shared" ref="AR4:AR9" si="1">AM4*AQ4</f>
        <v>43560</v>
      </c>
      <c r="AS4" s="321"/>
      <c r="AT4" s="222">
        <f>AT10-SUM(AT5:AT9)</f>
        <v>100</v>
      </c>
      <c r="AU4" s="149">
        <f>AT4*AN4</f>
        <v>75.921822461753337</v>
      </c>
      <c r="AV4" s="149">
        <f>AT4*AQ4</f>
        <v>11309.733552923255</v>
      </c>
      <c r="AW4" s="172">
        <f>AV4</f>
        <v>11309.733552923255</v>
      </c>
      <c r="BB4" s="313">
        <v>0</v>
      </c>
      <c r="BC4" s="314">
        <f t="shared" ref="BC4:BC14" si="2">M4</f>
        <v>0</v>
      </c>
      <c r="BD4" s="314">
        <f t="shared" ref="BD4:BD14" si="3">M18</f>
        <v>0</v>
      </c>
      <c r="BE4" s="314">
        <f t="shared" ref="BE4:BE14" si="4">M32</f>
        <v>0</v>
      </c>
      <c r="BF4" s="314">
        <f t="shared" ref="BF4:BF14" si="5">M46</f>
        <v>0</v>
      </c>
      <c r="BG4" s="315">
        <f t="shared" ref="BG4:BG14" si="6">M60</f>
        <v>0</v>
      </c>
      <c r="BH4" s="316">
        <f t="shared" ref="BH4:BH14" si="7">M74</f>
        <v>0</v>
      </c>
      <c r="BJ4" s="338">
        <f t="shared" ref="BJ4:BJ14" si="8">BB4</f>
        <v>0</v>
      </c>
      <c r="BK4" s="339">
        <f>BC4</f>
        <v>0</v>
      </c>
      <c r="BL4" s="339">
        <f t="shared" ref="BL4:BP4" si="9">BD4</f>
        <v>0</v>
      </c>
      <c r="BM4" s="339">
        <f t="shared" si="9"/>
        <v>0</v>
      </c>
      <c r="BN4" s="339">
        <f t="shared" si="9"/>
        <v>0</v>
      </c>
      <c r="BO4" s="339">
        <f t="shared" si="9"/>
        <v>0</v>
      </c>
      <c r="BP4" s="340">
        <f t="shared" si="9"/>
        <v>0</v>
      </c>
      <c r="BR4" s="467">
        <f t="shared" si="0"/>
        <v>0</v>
      </c>
      <c r="BS4" s="470">
        <f t="shared" ref="BS3:BS14" si="10">BP4</f>
        <v>0</v>
      </c>
    </row>
    <row r="5" spans="1:72" ht="24">
      <c r="A5" s="138" t="s">
        <v>2</v>
      </c>
      <c r="B5" s="114">
        <v>20</v>
      </c>
      <c r="C5" s="219">
        <v>0.1</v>
      </c>
      <c r="D5" s="117">
        <f t="shared" ref="D5:D14" si="11">E5/B5</f>
        <v>0.1</v>
      </c>
      <c r="E5" s="114">
        <f>B5*C5</f>
        <v>2</v>
      </c>
      <c r="F5" s="115">
        <f t="shared" ref="F5:F14" si="12">E5*2</f>
        <v>4</v>
      </c>
      <c r="G5" s="118">
        <f t="shared" ref="G5:G14" si="13">E5/12</f>
        <v>0.16666666666666666</v>
      </c>
      <c r="H5" s="119">
        <f>PI()*2*G5</f>
        <v>1.0471975511965976</v>
      </c>
      <c r="I5" s="118">
        <f t="shared" ref="I5:I14" si="14">PI()*G5^2</f>
        <v>8.7266462599716474E-2</v>
      </c>
      <c r="J5" s="219">
        <v>1</v>
      </c>
      <c r="K5" s="115">
        <f>B5*J5</f>
        <v>20</v>
      </c>
      <c r="L5" s="353">
        <f>$V$1</f>
        <v>0.435</v>
      </c>
      <c r="M5" s="121">
        <f>I5*K5*L5</f>
        <v>0.7592182246175333</v>
      </c>
      <c r="N5" s="118">
        <f>M5-M4</f>
        <v>0.7592182246175333</v>
      </c>
      <c r="O5" s="122">
        <f>N5/$M$28</f>
        <v>3.6562352750837161E-3</v>
      </c>
      <c r="P5" s="122">
        <f>M5/$M$28</f>
        <v>3.6562352750837161E-3</v>
      </c>
      <c r="Q5" s="122">
        <f>B5/$B$28</f>
        <v>0.1</v>
      </c>
      <c r="R5" s="118">
        <f>N5/(B5-B4)</f>
        <v>3.7960911230876665E-2</v>
      </c>
      <c r="S5" s="123">
        <f>E5/B5</f>
        <v>0.1</v>
      </c>
      <c r="T5" s="117">
        <f>1/C5</f>
        <v>10</v>
      </c>
      <c r="U5" s="356"/>
      <c r="V5" s="154">
        <f>(M5-U5)/M5</f>
        <v>1</v>
      </c>
      <c r="W5" s="318">
        <v>6</v>
      </c>
      <c r="X5" s="118">
        <f>PI()*W5^2</f>
        <v>113.09733552923255</v>
      </c>
      <c r="Y5" s="157">
        <f>43560/X5</f>
        <v>385.15496228238675</v>
      </c>
      <c r="AB5" s="138" t="s">
        <v>2</v>
      </c>
      <c r="AC5" s="118">
        <f t="shared" ref="AC5:AC14" si="15">R5</f>
        <v>3.7960911230876665E-2</v>
      </c>
      <c r="AD5" s="118">
        <f t="shared" ref="AD5:AD14" si="16">R19</f>
        <v>5.4663712172462388E-2</v>
      </c>
      <c r="AE5" s="118">
        <f t="shared" ref="AE5:AE14" si="17">R33</f>
        <v>6.0130083389708634E-2</v>
      </c>
      <c r="AF5" s="118">
        <f t="shared" ref="AF5:AF14" si="18">R47</f>
        <v>0.11175692266370092</v>
      </c>
      <c r="AG5" s="118">
        <f t="shared" ref="AG5:AG14" si="19">R61</f>
        <v>0.17462019166203266</v>
      </c>
      <c r="AH5" s="157">
        <f t="shared" ref="AH5:AH14" si="20">R75</f>
        <v>9.3953255296419735E-2</v>
      </c>
      <c r="AK5" s="161">
        <v>2</v>
      </c>
      <c r="AL5" s="54" t="s">
        <v>2</v>
      </c>
      <c r="AM5" s="149">
        <f>Y19</f>
        <v>246.49917586072752</v>
      </c>
      <c r="AN5" s="149">
        <f>M19</f>
        <v>1.0932742434492477</v>
      </c>
      <c r="AO5" s="149">
        <f>AM5*AN5</f>
        <v>269.49119999999994</v>
      </c>
      <c r="AP5" s="149">
        <f>W19</f>
        <v>7.5</v>
      </c>
      <c r="AQ5" s="149">
        <f t="shared" ref="AQ5:AQ8" si="21">AP5^2*PI()</f>
        <v>176.71458676442586</v>
      </c>
      <c r="AR5" s="149">
        <f t="shared" si="1"/>
        <v>43560</v>
      </c>
      <c r="AS5" s="321">
        <v>0.25</v>
      </c>
      <c r="AT5" s="222">
        <f>AS5*$AT$10</f>
        <v>65</v>
      </c>
      <c r="AU5" s="149">
        <f t="shared" ref="AU5:AU9" si="22">AT5*AN5</f>
        <v>71.062825824201099</v>
      </c>
      <c r="AV5" s="149">
        <f t="shared" ref="AV5:AV8" si="23">AT5*AQ5</f>
        <v>11486.448139687682</v>
      </c>
      <c r="AW5" s="172">
        <f>AV5+AW4</f>
        <v>22796.181692610939</v>
      </c>
      <c r="BB5" s="138">
        <v>20</v>
      </c>
      <c r="BC5" s="114">
        <f t="shared" si="2"/>
        <v>0.7592182246175333</v>
      </c>
      <c r="BD5" s="114">
        <f t="shared" si="3"/>
        <v>1.0932742434492477</v>
      </c>
      <c r="BE5" s="114">
        <f t="shared" si="4"/>
        <v>1.2026016677941727</v>
      </c>
      <c r="BF5" s="114">
        <f t="shared" si="5"/>
        <v>2.2351384532740184</v>
      </c>
      <c r="BG5" s="310">
        <f t="shared" si="6"/>
        <v>3.4924038332406533</v>
      </c>
      <c r="BH5" s="244">
        <f t="shared" si="7"/>
        <v>1.8790651059283947</v>
      </c>
      <c r="BJ5" s="138">
        <f t="shared" si="8"/>
        <v>20</v>
      </c>
      <c r="BK5" s="114">
        <f>BC5-BC4</f>
        <v>0.7592182246175333</v>
      </c>
      <c r="BL5" s="114">
        <f t="shared" ref="BL5:BP14" si="24">BD5-BD4</f>
        <v>1.0932742434492477</v>
      </c>
      <c r="BM5" s="114">
        <f t="shared" si="24"/>
        <v>1.2026016677941727</v>
      </c>
      <c r="BN5" s="114">
        <f t="shared" si="24"/>
        <v>2.2351384532740184</v>
      </c>
      <c r="BO5" s="114">
        <f t="shared" si="24"/>
        <v>3.4924038332406533</v>
      </c>
      <c r="BP5" s="244">
        <f t="shared" si="24"/>
        <v>1.8790651059283947</v>
      </c>
      <c r="BR5" s="468">
        <f t="shared" si="0"/>
        <v>20</v>
      </c>
      <c r="BS5" s="471">
        <f t="shared" si="10"/>
        <v>1.8790651059283947</v>
      </c>
    </row>
    <row r="6" spans="1:72" ht="24">
      <c r="A6" s="138" t="s">
        <v>11</v>
      </c>
      <c r="B6" s="114">
        <v>40</v>
      </c>
      <c r="C6" s="219">
        <v>0.15</v>
      </c>
      <c r="D6" s="117">
        <f t="shared" si="11"/>
        <v>0.125</v>
      </c>
      <c r="E6" s="114">
        <f>(B6-B5)*C6+E5</f>
        <v>5</v>
      </c>
      <c r="F6" s="115">
        <f t="shared" si="12"/>
        <v>10</v>
      </c>
      <c r="G6" s="118">
        <f t="shared" si="13"/>
        <v>0.41666666666666669</v>
      </c>
      <c r="H6" s="119">
        <f t="shared" ref="H6:H14" si="25">PI()*2*G6</f>
        <v>2.6179938779914944</v>
      </c>
      <c r="I6" s="118">
        <f t="shared" si="14"/>
        <v>0.54541539124822802</v>
      </c>
      <c r="J6" s="219">
        <v>1.25</v>
      </c>
      <c r="K6" s="115">
        <f>(B6-B5)*J6+K5</f>
        <v>45</v>
      </c>
      <c r="L6" s="353">
        <f t="shared" ref="L6:L14" si="26">$V$1</f>
        <v>0.435</v>
      </c>
      <c r="M6" s="121">
        <f>I6*K6*L6</f>
        <v>10.676506283684063</v>
      </c>
      <c r="N6" s="118">
        <f>M6-M5</f>
        <v>9.9172880590665287</v>
      </c>
      <c r="O6" s="122">
        <f t="shared" ref="O6:O14" si="27">N6/$M$28</f>
        <v>4.7759573280781044E-2</v>
      </c>
      <c r="P6" s="122">
        <f t="shared" ref="P6:P14" si="28">M6/$M$28</f>
        <v>5.1415808555864764E-2</v>
      </c>
      <c r="Q6" s="122">
        <f t="shared" ref="Q6:Q14" si="29">B6/$B$28</f>
        <v>0.2</v>
      </c>
      <c r="R6" s="118">
        <f>N6/(B6-B5)</f>
        <v>0.49586440295332646</v>
      </c>
      <c r="S6" s="123">
        <f>E6/B6</f>
        <v>0.125</v>
      </c>
      <c r="T6" s="117">
        <f>1/C6</f>
        <v>6.666666666666667</v>
      </c>
      <c r="U6" s="356"/>
      <c r="V6" s="154">
        <f t="shared" ref="V6:V14" si="30">(M6-U6)/M6</f>
        <v>1</v>
      </c>
      <c r="W6" s="318">
        <v>7</v>
      </c>
      <c r="X6" s="118">
        <f>PI()*W6^2</f>
        <v>153.93804002589985</v>
      </c>
      <c r="Y6" s="157">
        <f>43560/X6</f>
        <v>282.97099269726374</v>
      </c>
      <c r="AB6" s="138" t="s">
        <v>11</v>
      </c>
      <c r="AC6" s="118">
        <f t="shared" si="15"/>
        <v>0.49586440295332646</v>
      </c>
      <c r="AD6" s="118">
        <f t="shared" si="16"/>
        <v>0.83939166913714502</v>
      </c>
      <c r="AE6" s="118">
        <f t="shared" si="17"/>
        <v>1.2226450289240758</v>
      </c>
      <c r="AF6" s="118">
        <f t="shared" si="18"/>
        <v>1.8224843677387734</v>
      </c>
      <c r="AG6" s="118">
        <f t="shared" si="19"/>
        <v>2.9737059421819554</v>
      </c>
      <c r="AH6" s="157">
        <f t="shared" si="20"/>
        <v>2.9210921192159596</v>
      </c>
      <c r="AK6" s="161">
        <v>3</v>
      </c>
      <c r="AL6" s="54" t="s">
        <v>2</v>
      </c>
      <c r="AM6" s="149">
        <f>Y33</f>
        <v>216.64966628384252</v>
      </c>
      <c r="AN6" s="149">
        <f>M33</f>
        <v>1.2026016677941727</v>
      </c>
      <c r="AO6" s="149">
        <f t="shared" ref="AO6:AO8" si="31">AM6*AN6</f>
        <v>260.54324999999994</v>
      </c>
      <c r="AP6" s="149">
        <f>W33</f>
        <v>8</v>
      </c>
      <c r="AQ6" s="149">
        <f t="shared" si="21"/>
        <v>201.06192982974676</v>
      </c>
      <c r="AR6" s="149">
        <f t="shared" si="1"/>
        <v>43560</v>
      </c>
      <c r="AS6" s="321">
        <v>0.2</v>
      </c>
      <c r="AT6" s="222">
        <f t="shared" ref="AT6:AT7" si="32">AS6*$AT$10</f>
        <v>52</v>
      </c>
      <c r="AU6" s="149">
        <f t="shared" si="22"/>
        <v>62.535286725296977</v>
      </c>
      <c r="AV6" s="149">
        <f t="shared" si="23"/>
        <v>10455.220351146832</v>
      </c>
      <c r="AW6" s="172">
        <f t="shared" ref="AW6:AW9" si="33">AV6+AW5</f>
        <v>33251.402043757771</v>
      </c>
      <c r="BB6" s="138">
        <v>40</v>
      </c>
      <c r="BC6" s="114">
        <f t="shared" si="2"/>
        <v>10.676506283684063</v>
      </c>
      <c r="BD6" s="114">
        <f t="shared" si="3"/>
        <v>17.881107626192147</v>
      </c>
      <c r="BE6" s="114">
        <f t="shared" si="4"/>
        <v>25.655502246275688</v>
      </c>
      <c r="BF6" s="114">
        <f t="shared" si="5"/>
        <v>38.684825808049489</v>
      </c>
      <c r="BG6" s="310">
        <f t="shared" si="6"/>
        <v>59.474118843639111</v>
      </c>
      <c r="BH6" s="244">
        <f t="shared" si="7"/>
        <v>58.421842384319191</v>
      </c>
      <c r="BJ6" s="138">
        <f t="shared" si="8"/>
        <v>40</v>
      </c>
      <c r="BK6" s="114">
        <f t="shared" ref="BK6:BK14" si="34">BC6-BC5</f>
        <v>9.9172880590665287</v>
      </c>
      <c r="BL6" s="114">
        <f t="shared" si="24"/>
        <v>16.7878333827429</v>
      </c>
      <c r="BM6" s="114">
        <f t="shared" si="24"/>
        <v>24.452900578481515</v>
      </c>
      <c r="BN6" s="114">
        <f t="shared" si="24"/>
        <v>36.44968735477547</v>
      </c>
      <c r="BO6" s="114">
        <f t="shared" si="24"/>
        <v>55.98171501039846</v>
      </c>
      <c r="BP6" s="244">
        <f t="shared" si="24"/>
        <v>56.542777278390794</v>
      </c>
      <c r="BR6" s="468">
        <f t="shared" si="0"/>
        <v>40</v>
      </c>
      <c r="BS6" s="471">
        <f t="shared" si="10"/>
        <v>56.542777278390794</v>
      </c>
    </row>
    <row r="7" spans="1:72" ht="24">
      <c r="A7" s="138" t="s">
        <v>164</v>
      </c>
      <c r="B7" s="114">
        <v>60</v>
      </c>
      <c r="C7" s="219">
        <v>0.12</v>
      </c>
      <c r="D7" s="117">
        <f t="shared" si="11"/>
        <v>0.12333333333333334</v>
      </c>
      <c r="E7" s="114">
        <f t="shared" ref="E7:E14" si="35">(B7-B6)*C7+E6</f>
        <v>7.4</v>
      </c>
      <c r="F7" s="115">
        <f t="shared" si="12"/>
        <v>14.8</v>
      </c>
      <c r="G7" s="118">
        <f t="shared" si="13"/>
        <v>0.6166666666666667</v>
      </c>
      <c r="H7" s="119">
        <f t="shared" si="25"/>
        <v>3.8746309394274117</v>
      </c>
      <c r="I7" s="118">
        <f t="shared" si="14"/>
        <v>1.1946778729901186</v>
      </c>
      <c r="J7" s="219">
        <v>0.75</v>
      </c>
      <c r="K7" s="115">
        <f t="shared" ref="K7:K14" si="36">(B7-B6)*J7+K6</f>
        <v>60</v>
      </c>
      <c r="L7" s="353">
        <f t="shared" si="26"/>
        <v>0.435</v>
      </c>
      <c r="M7" s="121">
        <f t="shared" ref="M7:M14" si="37">I7*K7*L7</f>
        <v>31.181092485042093</v>
      </c>
      <c r="N7" s="118">
        <f t="shared" ref="N7:N14" si="38">M7-M6</f>
        <v>20.50458620135803</v>
      </c>
      <c r="O7" s="122">
        <f t="shared" si="27"/>
        <v>9.8745774191823468E-2</v>
      </c>
      <c r="P7" s="122">
        <f t="shared" si="28"/>
        <v>0.15016158274768823</v>
      </c>
      <c r="Q7" s="122">
        <f t="shared" si="29"/>
        <v>0.3</v>
      </c>
      <c r="R7" s="118">
        <f t="shared" ref="R7:R14" si="39">N7/(B7-B6)</f>
        <v>1.0252293100679015</v>
      </c>
      <c r="S7" s="123">
        <f t="shared" ref="S7:S14" si="40">E7/B7</f>
        <v>0.12333333333333334</v>
      </c>
      <c r="T7" s="117">
        <f t="shared" ref="T7:T14" si="41">1/C7</f>
        <v>8.3333333333333339</v>
      </c>
      <c r="U7" s="356"/>
      <c r="V7" s="154">
        <f t="shared" si="30"/>
        <v>1</v>
      </c>
      <c r="W7" s="318">
        <v>8</v>
      </c>
      <c r="X7" s="118">
        <f>PI()*W7^2</f>
        <v>201.06192982974676</v>
      </c>
      <c r="Y7" s="157">
        <f>43560/X7</f>
        <v>216.64966628384252</v>
      </c>
      <c r="AB7" s="138" t="s">
        <v>164</v>
      </c>
      <c r="AC7" s="118">
        <f t="shared" si="15"/>
        <v>1.0252293100679015</v>
      </c>
      <c r="AD7" s="118">
        <f t="shared" si="16"/>
        <v>1.3842066671226871</v>
      </c>
      <c r="AE7" s="118">
        <f t="shared" si="17"/>
        <v>1.8773948258342368</v>
      </c>
      <c r="AF7" s="118">
        <f t="shared" si="18"/>
        <v>3.1023364898877803</v>
      </c>
      <c r="AG7" s="118">
        <f t="shared" si="19"/>
        <v>5.1007317202704368</v>
      </c>
      <c r="AH7" s="157">
        <f t="shared" si="20"/>
        <v>5.1783428032819607</v>
      </c>
      <c r="AK7" s="161">
        <v>4</v>
      </c>
      <c r="AL7" s="54" t="s">
        <v>2</v>
      </c>
      <c r="AM7" s="149">
        <f>Y47</f>
        <v>191.91112307496087</v>
      </c>
      <c r="AN7" s="149">
        <f>M47</f>
        <v>2.2351384532740184</v>
      </c>
      <c r="AO7" s="149">
        <f t="shared" si="31"/>
        <v>428.94793079584781</v>
      </c>
      <c r="AP7" s="149">
        <f>W47</f>
        <v>8.5</v>
      </c>
      <c r="AQ7" s="149">
        <f t="shared" si="21"/>
        <v>226.98006922186255</v>
      </c>
      <c r="AR7" s="149">
        <f t="shared" si="1"/>
        <v>43560</v>
      </c>
      <c r="AS7" s="321">
        <v>0.15</v>
      </c>
      <c r="AT7" s="222">
        <f t="shared" si="32"/>
        <v>39</v>
      </c>
      <c r="AU7" s="149">
        <f t="shared" si="22"/>
        <v>87.170399677686717</v>
      </c>
      <c r="AV7" s="149">
        <f t="shared" si="23"/>
        <v>8852.2226996526388</v>
      </c>
      <c r="AW7" s="172">
        <f t="shared" si="33"/>
        <v>42103.624743410408</v>
      </c>
      <c r="BB7" s="138">
        <v>60</v>
      </c>
      <c r="BC7" s="114">
        <f t="shared" si="2"/>
        <v>31.181092485042093</v>
      </c>
      <c r="BD7" s="114">
        <f t="shared" si="3"/>
        <v>45.565240968645888</v>
      </c>
      <c r="BE7" s="114">
        <f t="shared" si="4"/>
        <v>63.203398762960425</v>
      </c>
      <c r="BF7" s="114">
        <f t="shared" si="5"/>
        <v>100.7315556058051</v>
      </c>
      <c r="BG7" s="310">
        <f t="shared" si="6"/>
        <v>161.48875324904785</v>
      </c>
      <c r="BH7" s="244">
        <f t="shared" si="7"/>
        <v>161.98869844995841</v>
      </c>
      <c r="BJ7" s="138">
        <f t="shared" si="8"/>
        <v>60</v>
      </c>
      <c r="BK7" s="114">
        <f t="shared" si="34"/>
        <v>20.50458620135803</v>
      </c>
      <c r="BL7" s="114">
        <f t="shared" si="24"/>
        <v>27.684133342453741</v>
      </c>
      <c r="BM7" s="114">
        <f t="shared" si="24"/>
        <v>37.547896516684737</v>
      </c>
      <c r="BN7" s="114">
        <f t="shared" si="24"/>
        <v>62.04672979775561</v>
      </c>
      <c r="BO7" s="114">
        <f t="shared" si="24"/>
        <v>102.01463440540874</v>
      </c>
      <c r="BP7" s="244">
        <f t="shared" si="24"/>
        <v>103.56685606563921</v>
      </c>
      <c r="BR7" s="468">
        <f t="shared" si="0"/>
        <v>60</v>
      </c>
      <c r="BS7" s="471">
        <f t="shared" si="10"/>
        <v>103.56685606563921</v>
      </c>
    </row>
    <row r="8" spans="1:72" ht="24">
      <c r="A8" s="138" t="s">
        <v>165</v>
      </c>
      <c r="B8" s="114">
        <v>80</v>
      </c>
      <c r="C8" s="219">
        <v>7.0000000000000007E-2</v>
      </c>
      <c r="D8" s="117">
        <f t="shared" si="11"/>
        <v>0.11000000000000001</v>
      </c>
      <c r="E8" s="114">
        <f t="shared" si="35"/>
        <v>8.8000000000000007</v>
      </c>
      <c r="F8" s="115">
        <f t="shared" si="12"/>
        <v>17.600000000000001</v>
      </c>
      <c r="G8" s="118">
        <f t="shared" si="13"/>
        <v>0.73333333333333339</v>
      </c>
      <c r="H8" s="119">
        <f t="shared" si="25"/>
        <v>4.6076692252650302</v>
      </c>
      <c r="I8" s="118">
        <f t="shared" si="14"/>
        <v>1.6894787159305114</v>
      </c>
      <c r="J8" s="219">
        <v>0.6</v>
      </c>
      <c r="K8" s="115">
        <f t="shared" si="36"/>
        <v>72</v>
      </c>
      <c r="L8" s="353">
        <f t="shared" si="26"/>
        <v>0.435</v>
      </c>
      <c r="M8" s="121">
        <f t="shared" si="37"/>
        <v>52.914473382943612</v>
      </c>
      <c r="N8" s="118">
        <f t="shared" si="38"/>
        <v>21.733380897901519</v>
      </c>
      <c r="O8" s="122">
        <f t="shared" si="27"/>
        <v>0.10466339098454651</v>
      </c>
      <c r="P8" s="122">
        <f t="shared" si="28"/>
        <v>0.25482497373223473</v>
      </c>
      <c r="Q8" s="122">
        <f t="shared" si="29"/>
        <v>0.4</v>
      </c>
      <c r="R8" s="118">
        <f t="shared" si="39"/>
        <v>1.086669044895076</v>
      </c>
      <c r="S8" s="123">
        <f t="shared" si="40"/>
        <v>0.11000000000000001</v>
      </c>
      <c r="T8" s="117">
        <f t="shared" si="41"/>
        <v>14.285714285714285</v>
      </c>
      <c r="U8" s="356"/>
      <c r="V8" s="154">
        <f t="shared" si="30"/>
        <v>1</v>
      </c>
      <c r="W8" s="318">
        <v>9</v>
      </c>
      <c r="X8" s="118">
        <f t="shared" ref="X8:X14" si="42">PI()*W8^2</f>
        <v>254.46900494077323</v>
      </c>
      <c r="Y8" s="157">
        <f t="shared" ref="Y8:Y14" si="43">43560/X8</f>
        <v>171.17998323661632</v>
      </c>
      <c r="AB8" s="138" t="s">
        <v>165</v>
      </c>
      <c r="AC8" s="463">
        <f t="shared" si="15"/>
        <v>1.086669044895076</v>
      </c>
      <c r="AD8" s="463">
        <f t="shared" si="16"/>
        <v>1.9281106032386877</v>
      </c>
      <c r="AE8" s="118">
        <f t="shared" si="17"/>
        <v>2.4852249364630343</v>
      </c>
      <c r="AF8" s="118">
        <f t="shared" si="18"/>
        <v>3.5440116920590277</v>
      </c>
      <c r="AG8" s="118">
        <f t="shared" si="19"/>
        <v>5.7256043819963383</v>
      </c>
      <c r="AH8" s="157">
        <f t="shared" si="20"/>
        <v>7.0152950233136071</v>
      </c>
      <c r="AK8" s="161">
        <v>5</v>
      </c>
      <c r="AL8" s="54" t="s">
        <v>2</v>
      </c>
      <c r="AM8" s="149">
        <f>Y61</f>
        <v>171.17998323661632</v>
      </c>
      <c r="AN8" s="149">
        <f>M61</f>
        <v>3.4924038332406533</v>
      </c>
      <c r="AO8" s="149">
        <f t="shared" si="31"/>
        <v>597.82962962962961</v>
      </c>
      <c r="AP8" s="149">
        <f>W61</f>
        <v>9</v>
      </c>
      <c r="AQ8" s="149">
        <f t="shared" si="21"/>
        <v>254.46900494077323</v>
      </c>
      <c r="AR8" s="149">
        <f t="shared" si="1"/>
        <v>43560</v>
      </c>
      <c r="AS8" s="321"/>
      <c r="AT8" s="222">
        <v>3</v>
      </c>
      <c r="AU8" s="149">
        <f t="shared" si="22"/>
        <v>10.47721149972196</v>
      </c>
      <c r="AV8" s="149">
        <f t="shared" si="23"/>
        <v>763.40701482231975</v>
      </c>
      <c r="AW8" s="172">
        <f t="shared" si="33"/>
        <v>42867.031758232726</v>
      </c>
      <c r="BB8" s="138">
        <v>80</v>
      </c>
      <c r="BC8" s="114">
        <f t="shared" si="2"/>
        <v>52.914473382943612</v>
      </c>
      <c r="BD8" s="114">
        <f t="shared" si="3"/>
        <v>84.127453033419641</v>
      </c>
      <c r="BE8" s="114">
        <f t="shared" si="4"/>
        <v>112.90789749222111</v>
      </c>
      <c r="BF8" s="114">
        <f t="shared" si="5"/>
        <v>171.61178944698565</v>
      </c>
      <c r="BG8" s="310">
        <f t="shared" si="6"/>
        <v>276.00084088897461</v>
      </c>
      <c r="BH8" s="244">
        <f t="shared" si="7"/>
        <v>302.29459891623054</v>
      </c>
      <c r="BJ8" s="138">
        <f t="shared" si="8"/>
        <v>80</v>
      </c>
      <c r="BK8" s="114">
        <f t="shared" si="34"/>
        <v>21.733380897901519</v>
      </c>
      <c r="BL8" s="114">
        <f t="shared" si="24"/>
        <v>38.562212064773753</v>
      </c>
      <c r="BM8" s="114">
        <f t="shared" si="24"/>
        <v>49.704498729260685</v>
      </c>
      <c r="BN8" s="114">
        <f t="shared" si="24"/>
        <v>70.880233841180555</v>
      </c>
      <c r="BO8" s="114">
        <f t="shared" si="24"/>
        <v>114.51208763992676</v>
      </c>
      <c r="BP8" s="244">
        <f t="shared" si="24"/>
        <v>140.30590046627213</v>
      </c>
      <c r="BR8" s="468">
        <f t="shared" si="0"/>
        <v>80</v>
      </c>
      <c r="BS8" s="471">
        <f t="shared" si="10"/>
        <v>140.30590046627213</v>
      </c>
    </row>
    <row r="9" spans="1:72" ht="27" thickBot="1">
      <c r="A9" s="138" t="s">
        <v>12</v>
      </c>
      <c r="B9" s="114">
        <v>100</v>
      </c>
      <c r="C9" s="219">
        <v>0.05</v>
      </c>
      <c r="D9" s="117">
        <f t="shared" si="11"/>
        <v>9.8000000000000004E-2</v>
      </c>
      <c r="E9" s="114">
        <f t="shared" si="35"/>
        <v>9.8000000000000007</v>
      </c>
      <c r="F9" s="115">
        <f t="shared" si="12"/>
        <v>19.600000000000001</v>
      </c>
      <c r="G9" s="118">
        <f t="shared" si="13"/>
        <v>0.81666666666666676</v>
      </c>
      <c r="H9" s="119">
        <f t="shared" si="25"/>
        <v>5.1312680008633293</v>
      </c>
      <c r="I9" s="118">
        <f t="shared" si="14"/>
        <v>2.0952677670191928</v>
      </c>
      <c r="J9" s="219">
        <v>0.5</v>
      </c>
      <c r="K9" s="115">
        <f t="shared" si="36"/>
        <v>82</v>
      </c>
      <c r="L9" s="353">
        <f t="shared" si="26"/>
        <v>0.435</v>
      </c>
      <c r="M9" s="121">
        <f t="shared" si="37"/>
        <v>74.738201249574615</v>
      </c>
      <c r="N9" s="124">
        <f t="shared" si="38"/>
        <v>21.823727866631003</v>
      </c>
      <c r="O9" s="122">
        <f t="shared" si="27"/>
        <v>0.10509848298228147</v>
      </c>
      <c r="P9" s="122">
        <f t="shared" si="28"/>
        <v>0.3599234567145162</v>
      </c>
      <c r="Q9" s="122">
        <f t="shared" si="29"/>
        <v>0.5</v>
      </c>
      <c r="R9" s="118">
        <f t="shared" si="39"/>
        <v>1.0911863933315502</v>
      </c>
      <c r="S9" s="123">
        <f t="shared" si="40"/>
        <v>9.8000000000000004E-2</v>
      </c>
      <c r="T9" s="117">
        <f t="shared" si="41"/>
        <v>20</v>
      </c>
      <c r="U9" s="356"/>
      <c r="V9" s="154">
        <f t="shared" si="30"/>
        <v>1</v>
      </c>
      <c r="W9" s="318">
        <v>9.5</v>
      </c>
      <c r="X9" s="118">
        <f t="shared" si="42"/>
        <v>283.5287369864788</v>
      </c>
      <c r="Y9" s="157">
        <f t="shared" si="43"/>
        <v>153.63522041181079</v>
      </c>
      <c r="AB9" s="138" t="s">
        <v>12</v>
      </c>
      <c r="AC9" s="463">
        <f t="shared" si="15"/>
        <v>1.0911863933315502</v>
      </c>
      <c r="AD9" s="118">
        <f t="shared" si="16"/>
        <v>1.6699764068687259</v>
      </c>
      <c r="AE9" s="463">
        <f t="shared" si="17"/>
        <v>2.5262227205923806</v>
      </c>
      <c r="AF9" s="463">
        <f t="shared" si="18"/>
        <v>3.580036596817135</v>
      </c>
      <c r="AG9" s="463">
        <f t="shared" si="19"/>
        <v>6.1350724082519692</v>
      </c>
      <c r="AH9" s="157">
        <f t="shared" si="20"/>
        <v>7.3253882169308273</v>
      </c>
      <c r="AK9" s="162">
        <v>6</v>
      </c>
      <c r="AL9" s="163" t="s">
        <v>2</v>
      </c>
      <c r="AM9" s="322">
        <f>Y75</f>
        <v>153.63522041181079</v>
      </c>
      <c r="AN9" s="164">
        <f>M75</f>
        <v>1.8790651059283947</v>
      </c>
      <c r="AO9" s="164">
        <f>AM9*AN9</f>
        <v>288.69058171745149</v>
      </c>
      <c r="AP9" s="164">
        <f>W75</f>
        <v>9.5</v>
      </c>
      <c r="AQ9" s="164">
        <f>AP9^2*PI()</f>
        <v>283.5287369864788</v>
      </c>
      <c r="AR9" s="164">
        <f t="shared" si="1"/>
        <v>43560</v>
      </c>
      <c r="AS9" s="321"/>
      <c r="AT9" s="223">
        <v>1</v>
      </c>
      <c r="AU9" s="149">
        <f t="shared" si="22"/>
        <v>1.8790651059283947</v>
      </c>
      <c r="AV9" s="164">
        <f>AT9*AQ9</f>
        <v>283.5287369864788</v>
      </c>
      <c r="AW9" s="173">
        <f t="shared" si="33"/>
        <v>43150.560495219208</v>
      </c>
      <c r="BB9" s="138">
        <v>100</v>
      </c>
      <c r="BC9" s="114">
        <f t="shared" si="2"/>
        <v>74.738201249574615</v>
      </c>
      <c r="BD9" s="114">
        <f t="shared" si="3"/>
        <v>117.52698117079416</v>
      </c>
      <c r="BE9" s="114">
        <f t="shared" si="4"/>
        <v>163.43235190406872</v>
      </c>
      <c r="BF9" s="114">
        <f t="shared" si="5"/>
        <v>243.21252138332835</v>
      </c>
      <c r="BG9" s="310">
        <f t="shared" si="6"/>
        <v>398.70228905401399</v>
      </c>
      <c r="BH9" s="244">
        <f t="shared" si="7"/>
        <v>448.80236325484708</v>
      </c>
      <c r="BJ9" s="138">
        <f t="shared" si="8"/>
        <v>100</v>
      </c>
      <c r="BK9" s="114">
        <f t="shared" si="34"/>
        <v>21.823727866631003</v>
      </c>
      <c r="BL9" s="114">
        <f t="shared" si="24"/>
        <v>33.399528137374517</v>
      </c>
      <c r="BM9" s="114">
        <f t="shared" si="24"/>
        <v>50.524454411847614</v>
      </c>
      <c r="BN9" s="114">
        <f t="shared" si="24"/>
        <v>71.600731936342697</v>
      </c>
      <c r="BO9" s="114">
        <f t="shared" si="24"/>
        <v>122.70144816503938</v>
      </c>
      <c r="BP9" s="244">
        <f t="shared" si="24"/>
        <v>146.50776433861654</v>
      </c>
      <c r="BR9" s="468">
        <f t="shared" si="0"/>
        <v>100</v>
      </c>
      <c r="BS9" s="471">
        <f t="shared" si="10"/>
        <v>146.50776433861654</v>
      </c>
    </row>
    <row r="10" spans="1:72" ht="25" thickBot="1">
      <c r="A10" s="138" t="s">
        <v>13</v>
      </c>
      <c r="B10" s="114">
        <v>120</v>
      </c>
      <c r="C10" s="219">
        <v>3.5000000000000003E-2</v>
      </c>
      <c r="D10" s="117">
        <f t="shared" si="11"/>
        <v>8.7499999999999994E-2</v>
      </c>
      <c r="E10" s="114">
        <f t="shared" si="35"/>
        <v>10.5</v>
      </c>
      <c r="F10" s="115">
        <f t="shared" si="12"/>
        <v>21</v>
      </c>
      <c r="G10" s="118">
        <f t="shared" si="13"/>
        <v>0.875</v>
      </c>
      <c r="H10" s="119">
        <f t="shared" si="25"/>
        <v>5.497787143782138</v>
      </c>
      <c r="I10" s="118">
        <f t="shared" si="14"/>
        <v>2.4052818754046852</v>
      </c>
      <c r="J10" s="219">
        <v>0.4</v>
      </c>
      <c r="K10" s="115">
        <f t="shared" si="36"/>
        <v>90</v>
      </c>
      <c r="L10" s="353">
        <f t="shared" si="26"/>
        <v>0.435</v>
      </c>
      <c r="M10" s="121">
        <f t="shared" si="37"/>
        <v>94.166785422093426</v>
      </c>
      <c r="N10" s="118">
        <f t="shared" si="38"/>
        <v>19.428584172518811</v>
      </c>
      <c r="O10" s="122">
        <f t="shared" si="27"/>
        <v>9.3563974748210973E-2</v>
      </c>
      <c r="P10" s="122">
        <f t="shared" si="28"/>
        <v>0.45348743146272719</v>
      </c>
      <c r="Q10" s="122">
        <f t="shared" si="29"/>
        <v>0.6</v>
      </c>
      <c r="R10" s="118">
        <f t="shared" si="39"/>
        <v>0.97142920862594051</v>
      </c>
      <c r="S10" s="123">
        <f t="shared" si="40"/>
        <v>8.7499999999999994E-2</v>
      </c>
      <c r="T10" s="117">
        <f t="shared" si="41"/>
        <v>28.571428571428569</v>
      </c>
      <c r="U10" s="356"/>
      <c r="V10" s="154">
        <f t="shared" si="30"/>
        <v>1</v>
      </c>
      <c r="W10" s="318">
        <v>10</v>
      </c>
      <c r="X10" s="118">
        <f t="shared" si="42"/>
        <v>314.15926535897933</v>
      </c>
      <c r="Y10" s="157">
        <f t="shared" si="43"/>
        <v>138.65578642165923</v>
      </c>
      <c r="AB10" s="138" t="s">
        <v>13</v>
      </c>
      <c r="AC10" s="118">
        <f t="shared" si="15"/>
        <v>0.97142920862594051</v>
      </c>
      <c r="AD10" s="118">
        <f t="shared" si="16"/>
        <v>1.4315818843388215</v>
      </c>
      <c r="AE10" s="118">
        <f t="shared" si="17"/>
        <v>2.3602576166909857</v>
      </c>
      <c r="AF10" s="118">
        <f t="shared" si="18"/>
        <v>2.6465018678274106</v>
      </c>
      <c r="AG10" s="118">
        <f t="shared" si="19"/>
        <v>5.925139268721975</v>
      </c>
      <c r="AH10" s="465">
        <f t="shared" si="20"/>
        <v>7.483993649167334</v>
      </c>
      <c r="AM10" s="323">
        <f>SUM(AM4:AM9)</f>
        <v>1365.0301311503449</v>
      </c>
      <c r="AR10" s="37"/>
      <c r="AS10" s="320"/>
      <c r="AT10" s="358">
        <v>260</v>
      </c>
      <c r="AU10" s="160">
        <f>SUM(AU4:AU9)</f>
        <v>309.04661129458856</v>
      </c>
      <c r="AV10" s="160">
        <f>AU10*12.5/2000</f>
        <v>1.9315413205911784</v>
      </c>
      <c r="AW10" s="159" t="s">
        <v>249</v>
      </c>
      <c r="BB10" s="138">
        <v>120</v>
      </c>
      <c r="BC10" s="114">
        <f t="shared" si="2"/>
        <v>94.166785422093426</v>
      </c>
      <c r="BD10" s="114">
        <f t="shared" si="3"/>
        <v>146.15861885757059</v>
      </c>
      <c r="BE10" s="114">
        <f t="shared" si="4"/>
        <v>210.63750423788844</v>
      </c>
      <c r="BF10" s="114">
        <f t="shared" si="5"/>
        <v>296.14255873987656</v>
      </c>
      <c r="BG10" s="310">
        <f t="shared" si="6"/>
        <v>517.20507442845349</v>
      </c>
      <c r="BH10" s="244">
        <f t="shared" si="7"/>
        <v>598.48223623819376</v>
      </c>
      <c r="BJ10" s="138">
        <f t="shared" si="8"/>
        <v>120</v>
      </c>
      <c r="BK10" s="114">
        <f t="shared" si="34"/>
        <v>19.428584172518811</v>
      </c>
      <c r="BL10" s="114">
        <f t="shared" si="24"/>
        <v>28.631637686776429</v>
      </c>
      <c r="BM10" s="114">
        <f t="shared" si="24"/>
        <v>47.205152333819711</v>
      </c>
      <c r="BN10" s="114">
        <f t="shared" si="24"/>
        <v>52.930037356548212</v>
      </c>
      <c r="BO10" s="114">
        <f t="shared" si="24"/>
        <v>118.5027853744395</v>
      </c>
      <c r="BP10" s="244">
        <f t="shared" si="24"/>
        <v>149.67987298334668</v>
      </c>
      <c r="BR10" s="468">
        <f t="shared" si="0"/>
        <v>120</v>
      </c>
      <c r="BS10" s="471">
        <f t="shared" si="10"/>
        <v>149.67987298334668</v>
      </c>
    </row>
    <row r="11" spans="1:72" ht="25" thickBot="1">
      <c r="A11" s="138" t="s">
        <v>14</v>
      </c>
      <c r="B11" s="114">
        <v>140</v>
      </c>
      <c r="C11" s="219">
        <v>2.5000000000000001E-2</v>
      </c>
      <c r="D11" s="117">
        <f t="shared" si="11"/>
        <v>7.857142857142857E-2</v>
      </c>
      <c r="E11" s="114">
        <f t="shared" si="35"/>
        <v>11</v>
      </c>
      <c r="F11" s="115">
        <f t="shared" si="12"/>
        <v>22</v>
      </c>
      <c r="G11" s="118">
        <f t="shared" si="13"/>
        <v>0.91666666666666663</v>
      </c>
      <c r="H11" s="119">
        <f t="shared" si="25"/>
        <v>5.7595865315812871</v>
      </c>
      <c r="I11" s="118">
        <f t="shared" si="14"/>
        <v>2.6398104936414231</v>
      </c>
      <c r="J11" s="219">
        <v>0.3</v>
      </c>
      <c r="K11" s="115">
        <f t="shared" si="36"/>
        <v>96</v>
      </c>
      <c r="L11" s="353">
        <f t="shared" si="26"/>
        <v>0.435</v>
      </c>
      <c r="M11" s="121">
        <f t="shared" si="37"/>
        <v>110.23848621446582</v>
      </c>
      <c r="N11" s="118">
        <f t="shared" si="38"/>
        <v>16.071700792372397</v>
      </c>
      <c r="O11" s="122">
        <f t="shared" si="27"/>
        <v>7.7397930479428362E-2</v>
      </c>
      <c r="P11" s="122">
        <f t="shared" si="28"/>
        <v>0.53088536194215552</v>
      </c>
      <c r="Q11" s="122">
        <f t="shared" si="29"/>
        <v>0.7</v>
      </c>
      <c r="R11" s="118">
        <f t="shared" si="39"/>
        <v>0.80358503961861982</v>
      </c>
      <c r="S11" s="123">
        <f t="shared" si="40"/>
        <v>7.857142857142857E-2</v>
      </c>
      <c r="T11" s="117">
        <f t="shared" si="41"/>
        <v>40</v>
      </c>
      <c r="U11" s="356"/>
      <c r="V11" s="154">
        <f t="shared" si="30"/>
        <v>1</v>
      </c>
      <c r="W11" s="318">
        <v>10.5</v>
      </c>
      <c r="X11" s="118">
        <f t="shared" si="42"/>
        <v>346.36059005827468</v>
      </c>
      <c r="Y11" s="157">
        <f t="shared" si="43"/>
        <v>125.76488564322833</v>
      </c>
      <c r="AB11" s="138" t="s">
        <v>14</v>
      </c>
      <c r="AC11" s="118">
        <f t="shared" si="15"/>
        <v>0.80358503961861982</v>
      </c>
      <c r="AD11" s="118">
        <f t="shared" si="16"/>
        <v>1.2123955828917374</v>
      </c>
      <c r="AE11" s="118">
        <f t="shared" si="17"/>
        <v>2.2126276329141064</v>
      </c>
      <c r="AF11" s="118">
        <f t="shared" si="18"/>
        <v>2.4527114159937953</v>
      </c>
      <c r="AG11" s="118">
        <f t="shared" si="19"/>
        <v>4.9283219924693809</v>
      </c>
      <c r="AH11" s="157">
        <f t="shared" si="20"/>
        <v>6.6724652888736671</v>
      </c>
      <c r="AM11" s="324">
        <f>AM10/6</f>
        <v>227.50502185839082</v>
      </c>
      <c r="AR11" s="37" t="s">
        <v>258</v>
      </c>
      <c r="AS11" s="320"/>
      <c r="AT11" s="325">
        <f>SUM(AT5:AT9)+IF(AT4&gt;0,AT4,0)</f>
        <v>260</v>
      </c>
      <c r="AU11" s="326">
        <f>SUM(AU5:AU9)+IF(AT4&gt;0,AU4,0)</f>
        <v>309.04661129458844</v>
      </c>
      <c r="AV11" s="160">
        <f>AU11*12.5/2000</f>
        <v>1.9315413205911778</v>
      </c>
      <c r="AW11" s="159" t="s">
        <v>249</v>
      </c>
      <c r="BB11" s="138">
        <v>140</v>
      </c>
      <c r="BC11" s="114">
        <f t="shared" si="2"/>
        <v>110.23848621446582</v>
      </c>
      <c r="BD11" s="114">
        <f t="shared" si="3"/>
        <v>170.40653051540534</v>
      </c>
      <c r="BE11" s="114">
        <f t="shared" si="4"/>
        <v>254.89005689617056</v>
      </c>
      <c r="BF11" s="114">
        <f t="shared" si="5"/>
        <v>345.19678705975247</v>
      </c>
      <c r="BG11" s="310">
        <f t="shared" si="6"/>
        <v>615.77151427784111</v>
      </c>
      <c r="BH11" s="244">
        <f t="shared" si="7"/>
        <v>731.93154201566711</v>
      </c>
      <c r="BJ11" s="138">
        <f t="shared" si="8"/>
        <v>140</v>
      </c>
      <c r="BK11" s="114">
        <f t="shared" si="34"/>
        <v>16.071700792372397</v>
      </c>
      <c r="BL11" s="114">
        <f t="shared" si="24"/>
        <v>24.247911657834749</v>
      </c>
      <c r="BM11" s="114">
        <f t="shared" si="24"/>
        <v>44.252552658282127</v>
      </c>
      <c r="BN11" s="114">
        <f t="shared" si="24"/>
        <v>49.054228319875904</v>
      </c>
      <c r="BO11" s="114">
        <f t="shared" si="24"/>
        <v>98.566439849387621</v>
      </c>
      <c r="BP11" s="244">
        <f t="shared" si="24"/>
        <v>133.44930577747334</v>
      </c>
      <c r="BR11" s="468">
        <f t="shared" si="0"/>
        <v>140</v>
      </c>
      <c r="BS11" s="471">
        <f t="shared" si="10"/>
        <v>133.44930577747334</v>
      </c>
    </row>
    <row r="12" spans="1:72" ht="25" thickBot="1">
      <c r="A12" s="138" t="s">
        <v>15</v>
      </c>
      <c r="B12" s="114">
        <v>160</v>
      </c>
      <c r="C12" s="219">
        <v>0.02</v>
      </c>
      <c r="D12" s="117">
        <f t="shared" si="11"/>
        <v>7.1250000000000008E-2</v>
      </c>
      <c r="E12" s="114">
        <f t="shared" si="35"/>
        <v>11.4</v>
      </c>
      <c r="F12" s="115">
        <f t="shared" si="12"/>
        <v>22.8</v>
      </c>
      <c r="G12" s="118">
        <f t="shared" si="13"/>
        <v>0.95000000000000007</v>
      </c>
      <c r="H12" s="119">
        <f t="shared" si="25"/>
        <v>5.9690260418206069</v>
      </c>
      <c r="I12" s="118">
        <f t="shared" si="14"/>
        <v>2.8352873698647887</v>
      </c>
      <c r="J12" s="219">
        <v>0.2</v>
      </c>
      <c r="K12" s="115">
        <f t="shared" si="36"/>
        <v>100</v>
      </c>
      <c r="L12" s="353">
        <f t="shared" si="26"/>
        <v>0.435</v>
      </c>
      <c r="M12" s="121">
        <f t="shared" si="37"/>
        <v>123.33500058911831</v>
      </c>
      <c r="N12" s="118">
        <f t="shared" si="38"/>
        <v>13.096514374652486</v>
      </c>
      <c r="O12" s="122">
        <f t="shared" si="27"/>
        <v>6.3070058495194287E-2</v>
      </c>
      <c r="P12" s="122">
        <f t="shared" si="28"/>
        <v>0.59395542043734983</v>
      </c>
      <c r="Q12" s="122">
        <f t="shared" si="29"/>
        <v>0.8</v>
      </c>
      <c r="R12" s="118">
        <f t="shared" si="39"/>
        <v>0.6548257187326243</v>
      </c>
      <c r="S12" s="123">
        <f t="shared" si="40"/>
        <v>7.1250000000000008E-2</v>
      </c>
      <c r="T12" s="117">
        <f t="shared" si="41"/>
        <v>50</v>
      </c>
      <c r="U12" s="356"/>
      <c r="V12" s="154">
        <f t="shared" si="30"/>
        <v>1</v>
      </c>
      <c r="W12" s="318">
        <v>11</v>
      </c>
      <c r="X12" s="118">
        <f t="shared" si="42"/>
        <v>380.13271108436498</v>
      </c>
      <c r="Y12" s="157">
        <f t="shared" si="43"/>
        <v>114.59155902616465</v>
      </c>
      <c r="AB12" s="138" t="s">
        <v>15</v>
      </c>
      <c r="AC12" s="118">
        <f t="shared" si="15"/>
        <v>0.6548257187326243</v>
      </c>
      <c r="AD12" s="118">
        <f t="shared" si="16"/>
        <v>0.8777321894803336</v>
      </c>
      <c r="AE12" s="118">
        <f t="shared" si="17"/>
        <v>2.1101331725907442</v>
      </c>
      <c r="AF12" s="118">
        <f t="shared" si="18"/>
        <v>2.1125247099982856</v>
      </c>
      <c r="AG12" s="118">
        <f t="shared" si="19"/>
        <v>3.2320749267878739</v>
      </c>
      <c r="AH12" s="157">
        <f t="shared" si="20"/>
        <v>4.8959895455467004</v>
      </c>
      <c r="AR12" s="37" t="s">
        <v>262</v>
      </c>
      <c r="AS12" s="37"/>
      <c r="AT12" s="325">
        <f>SUM(AT6:AT10)+IF(AT5&gt;0,AT5,0)</f>
        <v>420</v>
      </c>
      <c r="AU12" s="215">
        <f>AU11*R1*T1/100/2000</f>
        <v>1.9315413205911778</v>
      </c>
      <c r="BB12" s="138">
        <v>160</v>
      </c>
      <c r="BC12" s="114">
        <f t="shared" si="2"/>
        <v>123.33500058911831</v>
      </c>
      <c r="BD12" s="114">
        <f t="shared" si="3"/>
        <v>187.96117430501201</v>
      </c>
      <c r="BE12" s="114">
        <f t="shared" si="4"/>
        <v>297.09272034798545</v>
      </c>
      <c r="BF12" s="114">
        <f t="shared" si="5"/>
        <v>387.44728125971818</v>
      </c>
      <c r="BG12" s="310">
        <f t="shared" si="6"/>
        <v>680.41301281359858</v>
      </c>
      <c r="BH12" s="244">
        <f t="shared" si="7"/>
        <v>829.85133292660112</v>
      </c>
      <c r="BJ12" s="138">
        <f t="shared" si="8"/>
        <v>160</v>
      </c>
      <c r="BK12" s="114">
        <f t="shared" si="34"/>
        <v>13.096514374652486</v>
      </c>
      <c r="BL12" s="114">
        <f t="shared" si="24"/>
        <v>17.554643789606672</v>
      </c>
      <c r="BM12" s="114">
        <f t="shared" si="24"/>
        <v>42.202663451814885</v>
      </c>
      <c r="BN12" s="114">
        <f t="shared" si="24"/>
        <v>42.250494199965715</v>
      </c>
      <c r="BO12" s="114">
        <f t="shared" si="24"/>
        <v>64.641498535757478</v>
      </c>
      <c r="BP12" s="244">
        <f t="shared" si="24"/>
        <v>97.919790910934012</v>
      </c>
      <c r="BR12" s="468">
        <f t="shared" si="0"/>
        <v>160</v>
      </c>
      <c r="BS12" s="471">
        <f t="shared" si="10"/>
        <v>97.919790910934012</v>
      </c>
    </row>
    <row r="13" spans="1:72" ht="25" thickBot="1">
      <c r="A13" s="138" t="s">
        <v>16</v>
      </c>
      <c r="B13" s="114">
        <v>180</v>
      </c>
      <c r="C13" s="219">
        <v>1.4999999999999999E-2</v>
      </c>
      <c r="D13" s="117">
        <f t="shared" si="11"/>
        <v>6.5000000000000002E-2</v>
      </c>
      <c r="E13" s="114">
        <f t="shared" si="35"/>
        <v>11.700000000000001</v>
      </c>
      <c r="F13" s="115">
        <f t="shared" si="12"/>
        <v>23.400000000000002</v>
      </c>
      <c r="G13" s="118">
        <f t="shared" si="13"/>
        <v>0.97500000000000009</v>
      </c>
      <c r="H13" s="119">
        <f t="shared" si="25"/>
        <v>6.1261056745000975</v>
      </c>
      <c r="I13" s="118">
        <f t="shared" si="14"/>
        <v>2.9864765163187976</v>
      </c>
      <c r="J13" s="219">
        <v>0.1</v>
      </c>
      <c r="K13" s="115">
        <f t="shared" si="36"/>
        <v>102</v>
      </c>
      <c r="L13" s="353">
        <f t="shared" si="26"/>
        <v>0.435</v>
      </c>
      <c r="M13" s="121">
        <f t="shared" si="37"/>
        <v>132.50996302906506</v>
      </c>
      <c r="N13" s="118">
        <f t="shared" si="38"/>
        <v>9.1749624399467535</v>
      </c>
      <c r="O13" s="122">
        <f t="shared" si="27"/>
        <v>4.418468924056803E-2</v>
      </c>
      <c r="P13" s="122">
        <f t="shared" si="28"/>
        <v>0.6381401096779179</v>
      </c>
      <c r="Q13" s="122">
        <f t="shared" si="29"/>
        <v>0.9</v>
      </c>
      <c r="R13" s="118">
        <f t="shared" si="39"/>
        <v>0.45874812199733767</v>
      </c>
      <c r="S13" s="123">
        <f t="shared" si="40"/>
        <v>6.5000000000000002E-2</v>
      </c>
      <c r="T13" s="117">
        <f t="shared" si="41"/>
        <v>66.666666666666671</v>
      </c>
      <c r="U13" s="356"/>
      <c r="V13" s="154">
        <f t="shared" si="30"/>
        <v>1</v>
      </c>
      <c r="W13" s="318">
        <v>11.25</v>
      </c>
      <c r="X13" s="118">
        <f t="shared" si="42"/>
        <v>397.60782021995817</v>
      </c>
      <c r="Y13" s="157">
        <f t="shared" si="43"/>
        <v>109.55518927143446</v>
      </c>
      <c r="AB13" s="138" t="s">
        <v>16</v>
      </c>
      <c r="AC13" s="118">
        <f t="shared" si="15"/>
        <v>0.45874812199733767</v>
      </c>
      <c r="AD13" s="118">
        <f t="shared" si="16"/>
        <v>0.60172789414843353</v>
      </c>
      <c r="AE13" s="118">
        <f t="shared" si="17"/>
        <v>1.2201680794662593</v>
      </c>
      <c r="AF13" s="118">
        <f t="shared" si="18"/>
        <v>1.1176309131177617</v>
      </c>
      <c r="AG13" s="118">
        <f t="shared" si="19"/>
        <v>2.0434662202870753</v>
      </c>
      <c r="AH13" s="157">
        <f t="shared" si="20"/>
        <v>2.7867484543698824</v>
      </c>
      <c r="AR13" s="37" t="s">
        <v>263</v>
      </c>
      <c r="AS13" s="37"/>
      <c r="AT13" s="37"/>
      <c r="AU13" s="215">
        <v>0</v>
      </c>
      <c r="BB13" s="138">
        <v>180</v>
      </c>
      <c r="BC13" s="114">
        <f t="shared" si="2"/>
        <v>132.50996302906506</v>
      </c>
      <c r="BD13" s="114">
        <f t="shared" si="3"/>
        <v>199.99573218798068</v>
      </c>
      <c r="BE13" s="114">
        <f t="shared" si="4"/>
        <v>321.49608193731063</v>
      </c>
      <c r="BF13" s="114">
        <f t="shared" si="5"/>
        <v>409.79989952207342</v>
      </c>
      <c r="BG13" s="310">
        <f t="shared" si="6"/>
        <v>721.28233721934009</v>
      </c>
      <c r="BH13" s="244">
        <f t="shared" si="7"/>
        <v>885.58630201399876</v>
      </c>
      <c r="BJ13" s="138">
        <f t="shared" si="8"/>
        <v>180</v>
      </c>
      <c r="BK13" s="114">
        <f t="shared" si="34"/>
        <v>9.1749624399467535</v>
      </c>
      <c r="BL13" s="114">
        <f t="shared" si="24"/>
        <v>12.03455788296867</v>
      </c>
      <c r="BM13" s="114">
        <f t="shared" si="24"/>
        <v>24.403361589325186</v>
      </c>
      <c r="BN13" s="114">
        <f t="shared" si="24"/>
        <v>22.352618262355236</v>
      </c>
      <c r="BO13" s="114">
        <f t="shared" si="24"/>
        <v>40.869324405741509</v>
      </c>
      <c r="BP13" s="244">
        <f t="shared" si="24"/>
        <v>55.734969087397644</v>
      </c>
      <c r="BR13" s="468">
        <f t="shared" si="0"/>
        <v>180</v>
      </c>
      <c r="BS13" s="471">
        <f t="shared" si="10"/>
        <v>55.734969087397644</v>
      </c>
    </row>
    <row r="14" spans="1:72" ht="25" thickBot="1">
      <c r="A14" s="139" t="s">
        <v>17</v>
      </c>
      <c r="B14" s="140">
        <v>200</v>
      </c>
      <c r="C14" s="220">
        <v>0.01</v>
      </c>
      <c r="D14" s="141">
        <f t="shared" si="11"/>
        <v>5.9500000000000004E-2</v>
      </c>
      <c r="E14" s="140">
        <f t="shared" si="35"/>
        <v>11.9</v>
      </c>
      <c r="F14" s="142">
        <f t="shared" si="12"/>
        <v>23.8</v>
      </c>
      <c r="G14" s="143">
        <f t="shared" si="13"/>
        <v>0.9916666666666667</v>
      </c>
      <c r="H14" s="144">
        <f t="shared" si="25"/>
        <v>6.2308254296197569</v>
      </c>
      <c r="I14" s="143">
        <f t="shared" si="14"/>
        <v>3.0894509421864629</v>
      </c>
      <c r="J14" s="220">
        <v>0.05</v>
      </c>
      <c r="K14" s="142">
        <f t="shared" si="36"/>
        <v>103</v>
      </c>
      <c r="L14" s="354">
        <f t="shared" si="26"/>
        <v>0.435</v>
      </c>
      <c r="M14" s="145">
        <f t="shared" si="37"/>
        <v>138.42284946466447</v>
      </c>
      <c r="N14" s="143">
        <f t="shared" si="38"/>
        <v>5.912886435599404</v>
      </c>
      <c r="O14" s="146">
        <f t="shared" si="27"/>
        <v>2.847521735176126E-2</v>
      </c>
      <c r="P14" s="146">
        <f t="shared" si="28"/>
        <v>0.66661532702967907</v>
      </c>
      <c r="Q14" s="146">
        <f t="shared" si="29"/>
        <v>1</v>
      </c>
      <c r="R14" s="143">
        <f t="shared" si="39"/>
        <v>0.29564432177997019</v>
      </c>
      <c r="S14" s="147">
        <f t="shared" si="40"/>
        <v>5.9500000000000004E-2</v>
      </c>
      <c r="T14" s="141">
        <f t="shared" si="41"/>
        <v>100</v>
      </c>
      <c r="U14" s="357"/>
      <c r="V14" s="165">
        <f t="shared" si="30"/>
        <v>1</v>
      </c>
      <c r="W14" s="319">
        <v>11.5</v>
      </c>
      <c r="X14" s="143">
        <f t="shared" si="42"/>
        <v>415.47562843725012</v>
      </c>
      <c r="Y14" s="158">
        <f t="shared" si="43"/>
        <v>104.84369483679336</v>
      </c>
      <c r="AB14" s="139" t="s">
        <v>17</v>
      </c>
      <c r="AC14" s="143">
        <f t="shared" si="15"/>
        <v>0.29564432177997019</v>
      </c>
      <c r="AD14" s="143">
        <f t="shared" si="16"/>
        <v>0.38272665214360019</v>
      </c>
      <c r="AE14" s="143">
        <f t="shared" si="17"/>
        <v>0.73684975767473593</v>
      </c>
      <c r="AF14" s="143">
        <f t="shared" si="18"/>
        <v>0.88861154938340403</v>
      </c>
      <c r="AG14" s="143">
        <f t="shared" si="19"/>
        <v>1.7538320597777328</v>
      </c>
      <c r="AH14" s="158">
        <f t="shared" si="20"/>
        <v>2.0509355040831396</v>
      </c>
      <c r="AR14" s="37" t="s">
        <v>264</v>
      </c>
      <c r="AS14" s="37"/>
      <c r="AT14" s="37"/>
      <c r="AU14" s="215">
        <f>SUM(AU12:AU13)</f>
        <v>1.9315413205911778</v>
      </c>
      <c r="BB14" s="139">
        <v>200</v>
      </c>
      <c r="BC14" s="140">
        <f t="shared" si="2"/>
        <v>138.42284946466447</v>
      </c>
      <c r="BD14" s="140">
        <f t="shared" si="3"/>
        <v>207.65026523085268</v>
      </c>
      <c r="BE14" s="140">
        <f t="shared" si="4"/>
        <v>336.23307709080535</v>
      </c>
      <c r="BF14" s="140">
        <f t="shared" si="5"/>
        <v>427.5721305097415</v>
      </c>
      <c r="BG14" s="311">
        <f t="shared" si="6"/>
        <v>756.35897841489475</v>
      </c>
      <c r="BH14" s="312">
        <f t="shared" si="7"/>
        <v>926.60501209566155</v>
      </c>
      <c r="BJ14" s="139">
        <f t="shared" si="8"/>
        <v>200</v>
      </c>
      <c r="BK14" s="140">
        <f t="shared" si="34"/>
        <v>5.912886435599404</v>
      </c>
      <c r="BL14" s="140">
        <f t="shared" si="24"/>
        <v>7.6545330428720035</v>
      </c>
      <c r="BM14" s="140">
        <f t="shared" si="24"/>
        <v>14.736995153494718</v>
      </c>
      <c r="BN14" s="140">
        <f t="shared" si="24"/>
        <v>17.772230987668081</v>
      </c>
      <c r="BO14" s="140">
        <f t="shared" si="24"/>
        <v>35.076641195554657</v>
      </c>
      <c r="BP14" s="312">
        <f t="shared" si="24"/>
        <v>41.018710081662789</v>
      </c>
      <c r="BR14" s="469">
        <f t="shared" si="0"/>
        <v>200</v>
      </c>
      <c r="BS14" s="472">
        <f t="shared" si="10"/>
        <v>41.018710081662789</v>
      </c>
    </row>
    <row r="15" spans="1:72" ht="30" thickBot="1">
      <c r="F15"/>
      <c r="H15"/>
      <c r="I15" s="127"/>
      <c r="W15" s="225" t="s">
        <v>199</v>
      </c>
      <c r="X15" s="25"/>
      <c r="Y15" s="36"/>
    </row>
    <row r="16" spans="1:72" ht="27" thickBot="1">
      <c r="A16" s="257" t="s">
        <v>221</v>
      </c>
      <c r="B16" s="25"/>
      <c r="C16" s="25"/>
      <c r="D16" s="36"/>
      <c r="F16"/>
      <c r="H16"/>
      <c r="I16" s="127"/>
      <c r="W16" s="167"/>
      <c r="X16" s="171"/>
      <c r="Y16" s="168"/>
      <c r="AK16" s="257" t="s">
        <v>209</v>
      </c>
      <c r="AL16" s="258"/>
      <c r="AM16" s="258"/>
      <c r="AN16" s="258"/>
      <c r="AO16" s="259"/>
      <c r="AY16" s="366" t="s">
        <v>313</v>
      </c>
      <c r="AZ16" s="25"/>
      <c r="BA16" s="36"/>
      <c r="BB16" s="373" t="s">
        <v>317</v>
      </c>
      <c r="BC16" s="374"/>
      <c r="BE16" s="24"/>
      <c r="BF16" s="366" t="s">
        <v>312</v>
      </c>
      <c r="BG16" s="45"/>
      <c r="BH16" s="46"/>
      <c r="BJ16" s="373" t="s">
        <v>326</v>
      </c>
      <c r="BK16" s="386"/>
      <c r="BL16" s="408" t="s">
        <v>326</v>
      </c>
      <c r="BM16" s="374"/>
      <c r="BP16" s="456"/>
      <c r="BQ16" s="366" t="s">
        <v>315</v>
      </c>
      <c r="BR16" s="45"/>
      <c r="BS16" s="373" t="s">
        <v>316</v>
      </c>
      <c r="BT16" s="374"/>
    </row>
    <row r="17" spans="1:88" ht="115" customHeight="1" thickBot="1">
      <c r="A17" s="132" t="s">
        <v>1</v>
      </c>
      <c r="B17" s="133" t="s">
        <v>4</v>
      </c>
      <c r="C17" s="133" t="s">
        <v>10</v>
      </c>
      <c r="D17" s="133" t="s">
        <v>172</v>
      </c>
      <c r="E17" s="133" t="s">
        <v>173</v>
      </c>
      <c r="F17" s="134" t="s">
        <v>163</v>
      </c>
      <c r="G17" s="133" t="s">
        <v>174</v>
      </c>
      <c r="H17" s="133" t="s">
        <v>7</v>
      </c>
      <c r="I17" s="133" t="s">
        <v>5</v>
      </c>
      <c r="J17" s="133" t="s">
        <v>175</v>
      </c>
      <c r="K17" s="134" t="s">
        <v>8</v>
      </c>
      <c r="L17" s="135" t="s">
        <v>166</v>
      </c>
      <c r="M17" s="136" t="s">
        <v>6</v>
      </c>
      <c r="N17" s="133" t="s">
        <v>176</v>
      </c>
      <c r="O17" s="133" t="s">
        <v>177</v>
      </c>
      <c r="P17" s="133" t="s">
        <v>169</v>
      </c>
      <c r="Q17" s="133" t="s">
        <v>168</v>
      </c>
      <c r="R17" s="133" t="s">
        <v>9</v>
      </c>
      <c r="S17" s="133" t="s">
        <v>178</v>
      </c>
      <c r="T17" s="133" t="s">
        <v>179</v>
      </c>
      <c r="U17" s="136" t="s">
        <v>170</v>
      </c>
      <c r="V17" s="148" t="s">
        <v>171</v>
      </c>
      <c r="W17" s="150" t="s">
        <v>181</v>
      </c>
      <c r="X17" s="151" t="s">
        <v>180</v>
      </c>
      <c r="Y17" s="152" t="s">
        <v>182</v>
      </c>
      <c r="AK17" s="155" t="s">
        <v>183</v>
      </c>
      <c r="AL17" s="133" t="s">
        <v>185</v>
      </c>
      <c r="AM17" s="133" t="s">
        <v>184</v>
      </c>
      <c r="AN17" s="133" t="s">
        <v>265</v>
      </c>
      <c r="AO17" s="133" t="s">
        <v>266</v>
      </c>
      <c r="AP17" s="133" t="s">
        <v>267</v>
      </c>
      <c r="AQ17" s="133" t="s">
        <v>268</v>
      </c>
      <c r="AR17" s="133" t="s">
        <v>269</v>
      </c>
      <c r="AS17" s="133" t="s">
        <v>259</v>
      </c>
      <c r="AT17" s="133" t="s">
        <v>270</v>
      </c>
      <c r="AU17" s="133" t="s">
        <v>271</v>
      </c>
      <c r="AV17" s="133" t="s">
        <v>272</v>
      </c>
      <c r="AW17" s="156" t="s">
        <v>273</v>
      </c>
      <c r="AY17" s="150" t="s">
        <v>4</v>
      </c>
      <c r="AZ17" s="151" t="s">
        <v>314</v>
      </c>
      <c r="BA17" s="152" t="s">
        <v>287</v>
      </c>
      <c r="BB17" s="383" t="s">
        <v>257</v>
      </c>
      <c r="BC17" s="376" t="s">
        <v>311</v>
      </c>
      <c r="BE17" s="216" t="s">
        <v>199</v>
      </c>
      <c r="BF17" s="216" t="s">
        <v>4</v>
      </c>
      <c r="BG17" s="152" t="s">
        <v>257</v>
      </c>
      <c r="BH17" s="216" t="s">
        <v>310</v>
      </c>
      <c r="BJ17" s="383" t="str">
        <f>"Stand age years"</f>
        <v>Stand age years</v>
      </c>
      <c r="BK17" s="383" t="str">
        <f>BE17&amp;" stems/0.4 ha"</f>
        <v>Stand Density stems/0.4 ha</v>
      </c>
      <c r="BL17" s="376" t="s">
        <v>327</v>
      </c>
      <c r="BM17" s="383" t="s">
        <v>328</v>
      </c>
      <c r="BP17" s="457" t="s">
        <v>4</v>
      </c>
      <c r="BQ17" s="367" t="s">
        <v>257</v>
      </c>
      <c r="BR17" s="150" t="s">
        <v>310</v>
      </c>
      <c r="BS17" s="375" t="s">
        <v>257</v>
      </c>
      <c r="BT17" s="376" t="s">
        <v>287</v>
      </c>
    </row>
    <row r="18" spans="1:88" ht="24">
      <c r="A18" s="137" t="s">
        <v>3</v>
      </c>
      <c r="B18" s="114">
        <v>0</v>
      </c>
      <c r="C18" s="219">
        <v>0</v>
      </c>
      <c r="D18" s="114">
        <v>0</v>
      </c>
      <c r="E18" s="114">
        <v>0</v>
      </c>
      <c r="F18" s="115">
        <f>E18*2</f>
        <v>0</v>
      </c>
      <c r="G18" s="114">
        <v>0</v>
      </c>
      <c r="H18" s="116">
        <v>0</v>
      </c>
      <c r="I18" s="114">
        <v>0</v>
      </c>
      <c r="J18" s="219">
        <v>0</v>
      </c>
      <c r="K18" s="115">
        <v>0</v>
      </c>
      <c r="L18" s="353">
        <v>0</v>
      </c>
      <c r="M18" s="120">
        <v>0</v>
      </c>
      <c r="N18" s="114">
        <v>0</v>
      </c>
      <c r="O18" s="114">
        <f>N18/$M$56</f>
        <v>0</v>
      </c>
      <c r="P18" s="114">
        <f>M18/$M$28</f>
        <v>0</v>
      </c>
      <c r="Q18" s="114">
        <v>0</v>
      </c>
      <c r="R18" s="114">
        <v>0</v>
      </c>
      <c r="S18" s="114">
        <v>0</v>
      </c>
      <c r="T18" s="114">
        <v>0</v>
      </c>
      <c r="U18" s="355">
        <v>0</v>
      </c>
      <c r="V18" s="153">
        <v>0</v>
      </c>
      <c r="W18" s="318"/>
      <c r="X18" s="171"/>
      <c r="Y18" s="168"/>
      <c r="AK18" s="161">
        <v>1</v>
      </c>
      <c r="AL18" s="185" t="s">
        <v>11</v>
      </c>
      <c r="AM18" s="149">
        <f>Y6</f>
        <v>282.97099269726374</v>
      </c>
      <c r="AN18" s="149">
        <f>M6</f>
        <v>10.676506283684063</v>
      </c>
      <c r="AO18" s="149">
        <f>AM18*AN18</f>
        <v>3021.1415816326535</v>
      </c>
      <c r="AP18" s="149">
        <f>W6</f>
        <v>7</v>
      </c>
      <c r="AQ18" s="149">
        <f>AP18^2*PI()</f>
        <v>153.93804002589985</v>
      </c>
      <c r="AR18" s="149">
        <f t="shared" ref="AR18:AR23" si="44">AM18*AQ18</f>
        <v>43560</v>
      </c>
      <c r="AS18" s="321"/>
      <c r="AT18" s="222">
        <f>AT24-SUM(AT19:AT23)</f>
        <v>76</v>
      </c>
      <c r="AU18" s="149">
        <f t="shared" ref="AU18:AU22" si="45">AT18*AN18</f>
        <v>811.41447755998877</v>
      </c>
      <c r="AV18" s="149">
        <f>AT18*AQ18</f>
        <v>11699.291041968389</v>
      </c>
      <c r="AW18" s="172">
        <f>AV18</f>
        <v>11699.291041968389</v>
      </c>
      <c r="AY18" s="338">
        <v>0</v>
      </c>
      <c r="AZ18" s="339">
        <v>0</v>
      </c>
      <c r="BA18" s="340"/>
      <c r="BB18" s="377">
        <v>0</v>
      </c>
      <c r="BC18" s="370">
        <v>0</v>
      </c>
      <c r="BE18" s="369"/>
      <c r="BF18" s="402">
        <v>0</v>
      </c>
      <c r="BG18" s="316">
        <v>0</v>
      </c>
      <c r="BH18" s="369"/>
      <c r="BJ18" s="409">
        <f>BF18</f>
        <v>0</v>
      </c>
      <c r="BK18" s="377"/>
      <c r="BL18" s="370"/>
      <c r="BM18" s="377"/>
      <c r="BP18" s="458">
        <v>0</v>
      </c>
      <c r="BQ18" s="369">
        <v>0</v>
      </c>
      <c r="BR18" s="340">
        <v>0</v>
      </c>
      <c r="BS18" s="377">
        <v>0</v>
      </c>
      <c r="BT18" s="370">
        <v>0</v>
      </c>
    </row>
    <row r="19" spans="1:88" ht="24">
      <c r="A19" s="138" t="s">
        <v>2</v>
      </c>
      <c r="B19" s="114">
        <v>20</v>
      </c>
      <c r="C19" s="219">
        <v>0.12</v>
      </c>
      <c r="D19" s="117">
        <f t="shared" ref="D19:D28" si="46">E19/B19</f>
        <v>0.12</v>
      </c>
      <c r="E19" s="114">
        <f>B19*C19</f>
        <v>2.4</v>
      </c>
      <c r="F19" s="115">
        <f t="shared" ref="F19:F28" si="47">E19*2</f>
        <v>4.8</v>
      </c>
      <c r="G19" s="118">
        <f t="shared" ref="G19:G28" si="48">E19/12</f>
        <v>0.19999999999999998</v>
      </c>
      <c r="H19" s="119">
        <f>PI()*2*G19</f>
        <v>1.2566370614359172</v>
      </c>
      <c r="I19" s="118">
        <f t="shared" ref="I19:I28" si="49">PI()*G19^2</f>
        <v>0.12566370614359171</v>
      </c>
      <c r="J19" s="219">
        <v>1</v>
      </c>
      <c r="K19" s="115">
        <v>20</v>
      </c>
      <c r="L19" s="353">
        <f>$V$1</f>
        <v>0.435</v>
      </c>
      <c r="M19" s="121">
        <f>I19*K19*L19</f>
        <v>1.0932742434492477</v>
      </c>
      <c r="N19" s="118">
        <f>M19-M18</f>
        <v>1.0932742434492477</v>
      </c>
      <c r="O19" s="122">
        <f>N19/$M$28</f>
        <v>5.2649787961205506E-3</v>
      </c>
      <c r="P19" s="122">
        <f>M19/$M$28</f>
        <v>5.2649787961205506E-3</v>
      </c>
      <c r="Q19" s="122">
        <f>B19/$B$28</f>
        <v>0.1</v>
      </c>
      <c r="R19" s="118">
        <f>N19/(B19-B18)</f>
        <v>5.4663712172462388E-2</v>
      </c>
      <c r="S19" s="123">
        <f>E19/B19</f>
        <v>0.12</v>
      </c>
      <c r="T19" s="117">
        <f>1/C19</f>
        <v>8.3333333333333339</v>
      </c>
      <c r="U19" s="356"/>
      <c r="V19" s="154">
        <f>(M19-U19)/M19</f>
        <v>1</v>
      </c>
      <c r="W19" s="318">
        <v>7.5</v>
      </c>
      <c r="X19" s="118">
        <f t="shared" ref="X19:X28" si="50">PI()*W19^2</f>
        <v>176.71458676442586</v>
      </c>
      <c r="Y19" s="157">
        <f t="shared" ref="Y19:Y28" si="51">43560/X19</f>
        <v>246.49917586072752</v>
      </c>
      <c r="AK19" s="161">
        <v>2</v>
      </c>
      <c r="AL19" s="54" t="s">
        <v>11</v>
      </c>
      <c r="AM19" s="149">
        <f>Y20</f>
        <v>191.91112307496087</v>
      </c>
      <c r="AN19" s="149">
        <f>M20</f>
        <v>17.881107626192147</v>
      </c>
      <c r="AO19" s="149">
        <f>AM19*AN19</f>
        <v>3431.5834463667825</v>
      </c>
      <c r="AP19" s="149">
        <f>W20</f>
        <v>8.5</v>
      </c>
      <c r="AQ19" s="149">
        <f t="shared" ref="AQ19:AQ22" si="52">AP19^2*PI()</f>
        <v>226.98006922186255</v>
      </c>
      <c r="AR19" s="149">
        <f t="shared" si="44"/>
        <v>43560</v>
      </c>
      <c r="AS19" s="321">
        <v>0.25</v>
      </c>
      <c r="AT19" s="222">
        <f>AS19*$AT$24</f>
        <v>50</v>
      </c>
      <c r="AU19" s="149">
        <f t="shared" si="45"/>
        <v>894.05538130960736</v>
      </c>
      <c r="AV19" s="149">
        <f t="shared" ref="AV19:AV22" si="53">AT19*AQ19</f>
        <v>11349.003461093127</v>
      </c>
      <c r="AW19" s="172">
        <f>AV19+AW18</f>
        <v>23048.294503061516</v>
      </c>
      <c r="AY19" s="138">
        <v>20</v>
      </c>
      <c r="AZ19" s="118">
        <f>AU14</f>
        <v>1.9315413205911778</v>
      </c>
      <c r="BA19" s="157">
        <f>AZ19</f>
        <v>1.9315413205911778</v>
      </c>
      <c r="BB19" s="382">
        <f>AZ19*2000/2204.6</f>
        <v>1.7522827910652072</v>
      </c>
      <c r="BC19" s="368">
        <f>BB19</f>
        <v>1.7522827910652072</v>
      </c>
      <c r="BE19" s="363"/>
      <c r="BF19" s="403"/>
      <c r="BG19" s="316"/>
      <c r="BH19" s="363"/>
      <c r="BJ19" s="405"/>
      <c r="BK19" s="378"/>
      <c r="BL19" s="365"/>
      <c r="BM19" s="378"/>
      <c r="BP19" s="459"/>
      <c r="BQ19" s="364"/>
      <c r="BR19" s="316"/>
      <c r="BS19" s="378"/>
      <c r="BT19" s="365"/>
    </row>
    <row r="20" spans="1:88" ht="24">
      <c r="A20" s="138" t="s">
        <v>11</v>
      </c>
      <c r="B20" s="114">
        <v>40</v>
      </c>
      <c r="C20" s="219">
        <v>0.2</v>
      </c>
      <c r="D20" s="117">
        <f t="shared" si="46"/>
        <v>0.16</v>
      </c>
      <c r="E20" s="114">
        <f>(B20-B19)*C20+E19</f>
        <v>6.4</v>
      </c>
      <c r="F20" s="115">
        <f t="shared" si="47"/>
        <v>12.8</v>
      </c>
      <c r="G20" s="118">
        <f t="shared" si="48"/>
        <v>0.53333333333333333</v>
      </c>
      <c r="H20" s="119">
        <f t="shared" ref="H20:H28" si="54">PI()*2*G20</f>
        <v>3.3510321638291125</v>
      </c>
      <c r="I20" s="118">
        <f t="shared" si="49"/>
        <v>0.89360857702109675</v>
      </c>
      <c r="J20" s="219">
        <v>1.3</v>
      </c>
      <c r="K20" s="115">
        <f>(B20-B19)*J20+K19</f>
        <v>46</v>
      </c>
      <c r="L20" s="353">
        <f t="shared" ref="L20:L28" si="55">$V$1</f>
        <v>0.435</v>
      </c>
      <c r="M20" s="121">
        <f>I20*K20*L20</f>
        <v>17.881107626192147</v>
      </c>
      <c r="N20" s="118">
        <f>M20-M19</f>
        <v>16.7878333827429</v>
      </c>
      <c r="O20" s="122">
        <f t="shared" ref="O20:O28" si="56">N20/$M$28</f>
        <v>8.0846674402651156E-2</v>
      </c>
      <c r="P20" s="122">
        <f t="shared" ref="P20:P28" si="57">M20/$M$28</f>
        <v>8.6111653198771704E-2</v>
      </c>
      <c r="Q20" s="122">
        <f t="shared" ref="Q20:Q28" si="58">B20/$B$28</f>
        <v>0.2</v>
      </c>
      <c r="R20" s="118">
        <f>N20/(B20-B19)</f>
        <v>0.83939166913714502</v>
      </c>
      <c r="S20" s="123">
        <f>E20/B20</f>
        <v>0.16</v>
      </c>
      <c r="T20" s="117">
        <f>1/C20</f>
        <v>5</v>
      </c>
      <c r="U20" s="356"/>
      <c r="V20" s="154">
        <f t="shared" ref="V20:V28" si="59">(M20-U20)/M20</f>
        <v>1</v>
      </c>
      <c r="W20" s="318">
        <v>8.5</v>
      </c>
      <c r="X20" s="118">
        <f t="shared" si="50"/>
        <v>226.98006922186255</v>
      </c>
      <c r="Y20" s="157">
        <f t="shared" si="51"/>
        <v>191.91112307496087</v>
      </c>
      <c r="AK20" s="161">
        <v>3</v>
      </c>
      <c r="AL20" s="54" t="s">
        <v>11</v>
      </c>
      <c r="AM20" s="149">
        <f>Y34</f>
        <v>171.17998323661632</v>
      </c>
      <c r="AN20" s="149">
        <f>M34</f>
        <v>25.655502246275688</v>
      </c>
      <c r="AO20" s="149">
        <f t="shared" ref="AO20:AO22" si="60">AM20*AN20</f>
        <v>4391.7084444444445</v>
      </c>
      <c r="AP20" s="149">
        <f>W34</f>
        <v>9</v>
      </c>
      <c r="AQ20" s="149">
        <f t="shared" si="52"/>
        <v>254.46900494077323</v>
      </c>
      <c r="AR20" s="149">
        <f t="shared" si="44"/>
        <v>43560</v>
      </c>
      <c r="AS20" s="321">
        <v>0.2</v>
      </c>
      <c r="AT20" s="222">
        <f t="shared" ref="AT20:AT21" si="61">AS20*$AT$24</f>
        <v>40</v>
      </c>
      <c r="AU20" s="149">
        <f t="shared" si="45"/>
        <v>1026.2200898510275</v>
      </c>
      <c r="AV20" s="149">
        <f t="shared" si="53"/>
        <v>10178.760197630929</v>
      </c>
      <c r="AW20" s="172">
        <f t="shared" ref="AW20:AW23" si="62">AV20+AW19</f>
        <v>33227.054700692446</v>
      </c>
      <c r="AY20" s="138">
        <v>40</v>
      </c>
      <c r="AZ20" s="118">
        <f>AU28</f>
        <v>26.306743261733398</v>
      </c>
      <c r="BA20" s="157">
        <f>AZ20-AZ19</f>
        <v>24.375201941142222</v>
      </c>
      <c r="BB20" s="382">
        <f t="shared" ref="BB20:BB28" si="63">AZ20*2000/2204.6</f>
        <v>23.865320930539234</v>
      </c>
      <c r="BC20" s="368">
        <f>BB20-BB19</f>
        <v>22.113038139474028</v>
      </c>
      <c r="BE20" s="371">
        <f>AT24</f>
        <v>200</v>
      </c>
      <c r="BF20" s="403">
        <f>AY20</f>
        <v>40</v>
      </c>
      <c r="BG20" s="157">
        <f>AZ20</f>
        <v>26.306743261733398</v>
      </c>
      <c r="BH20" s="371">
        <f>BG20</f>
        <v>26.306743261733398</v>
      </c>
      <c r="BJ20" s="410">
        <f>BF20</f>
        <v>40</v>
      </c>
      <c r="BK20" s="404">
        <f>BE20</f>
        <v>200</v>
      </c>
      <c r="BL20" s="368">
        <f>BH20*2000/2204.6</f>
        <v>23.865320930539234</v>
      </c>
      <c r="BM20" s="400">
        <f>BG20*2000/2204.6</f>
        <v>23.865320930539234</v>
      </c>
      <c r="BP20" s="459">
        <v>50</v>
      </c>
      <c r="BQ20" s="364">
        <f>AVERAGE(AZ20:AZ21)</f>
        <v>41.218358738081662</v>
      </c>
      <c r="BR20" s="244">
        <f>BQ20</f>
        <v>41.218358738081662</v>
      </c>
      <c r="BS20" s="379">
        <f>BQ20*2000/2204.6</f>
        <v>37.39304974878133</v>
      </c>
      <c r="BT20" s="368">
        <f>BS20</f>
        <v>37.39304974878133</v>
      </c>
    </row>
    <row r="21" spans="1:88" ht="24">
      <c r="A21" s="138" t="s">
        <v>164</v>
      </c>
      <c r="B21" s="114">
        <v>60</v>
      </c>
      <c r="C21" s="219">
        <v>0.12</v>
      </c>
      <c r="D21" s="117">
        <f t="shared" ref="D21" si="64">E21/B21</f>
        <v>0.14666666666666667</v>
      </c>
      <c r="E21" s="114">
        <f t="shared" ref="E21:E28" si="65">(B21-B20)*C21+E20</f>
        <v>8.8000000000000007</v>
      </c>
      <c r="F21" s="115">
        <f t="shared" si="47"/>
        <v>17.600000000000001</v>
      </c>
      <c r="G21" s="118">
        <f t="shared" ref="G21" si="66">E21/12</f>
        <v>0.73333333333333339</v>
      </c>
      <c r="H21" s="119">
        <f t="shared" ref="H21" si="67">PI()*2*G21</f>
        <v>4.6076692252650302</v>
      </c>
      <c r="I21" s="118">
        <f t="shared" si="49"/>
        <v>1.6894787159305114</v>
      </c>
      <c r="J21" s="219">
        <v>0.8</v>
      </c>
      <c r="K21" s="115">
        <f t="shared" ref="K21:K28" si="68">(B21-B20)*J21+K20</f>
        <v>62</v>
      </c>
      <c r="L21" s="353">
        <f t="shared" si="55"/>
        <v>0.435</v>
      </c>
      <c r="M21" s="121">
        <f t="shared" ref="M21:M28" si="69">I21*K21*L21</f>
        <v>45.565240968645888</v>
      </c>
      <c r="N21" s="118">
        <f t="shared" ref="N21:N28" si="70">M21-M20</f>
        <v>27.684133342453741</v>
      </c>
      <c r="O21" s="122">
        <f t="shared" si="56"/>
        <v>0.13332096307065266</v>
      </c>
      <c r="P21" s="122">
        <f t="shared" si="57"/>
        <v>0.21943261626942437</v>
      </c>
      <c r="Q21" s="122">
        <f t="shared" si="58"/>
        <v>0.3</v>
      </c>
      <c r="R21" s="118">
        <f t="shared" ref="R21:R28" si="71">N21/(B21-B20)</f>
        <v>1.3842066671226871</v>
      </c>
      <c r="S21" s="123">
        <f t="shared" ref="S21:S28" si="72">E21/B21</f>
        <v>0.14666666666666667</v>
      </c>
      <c r="T21" s="117">
        <f t="shared" ref="T21:T28" si="73">1/C21</f>
        <v>8.3333333333333339</v>
      </c>
      <c r="U21" s="356"/>
      <c r="V21" s="154">
        <f t="shared" si="59"/>
        <v>1</v>
      </c>
      <c r="W21" s="318">
        <v>9.5</v>
      </c>
      <c r="X21" s="118">
        <f t="shared" si="50"/>
        <v>283.5287369864788</v>
      </c>
      <c r="Y21" s="157">
        <f t="shared" si="51"/>
        <v>153.63522041181079</v>
      </c>
      <c r="AK21" s="161">
        <v>4</v>
      </c>
      <c r="AL21" s="54" t="s">
        <v>11</v>
      </c>
      <c r="AM21" s="149">
        <f>Y48</f>
        <v>153.63522041181079</v>
      </c>
      <c r="AN21" s="149">
        <f>M48</f>
        <v>38.684825808049489</v>
      </c>
      <c r="AO21" s="149">
        <f t="shared" si="60"/>
        <v>5943.3517396121897</v>
      </c>
      <c r="AP21" s="149">
        <f>W48</f>
        <v>9.5</v>
      </c>
      <c r="AQ21" s="149">
        <f t="shared" si="52"/>
        <v>283.5287369864788</v>
      </c>
      <c r="AR21" s="149">
        <f t="shared" si="44"/>
        <v>43560</v>
      </c>
      <c r="AS21" s="321">
        <v>0.15</v>
      </c>
      <c r="AT21" s="222">
        <f t="shared" si="61"/>
        <v>30</v>
      </c>
      <c r="AU21" s="149">
        <f t="shared" si="45"/>
        <v>1160.5447742414847</v>
      </c>
      <c r="AV21" s="149">
        <f t="shared" si="53"/>
        <v>8505.8621095943636</v>
      </c>
      <c r="AW21" s="172">
        <f t="shared" si="62"/>
        <v>41732.916810286813</v>
      </c>
      <c r="AY21" s="138">
        <v>60</v>
      </c>
      <c r="AZ21" s="118">
        <f>AU42</f>
        <v>56.129974214429922</v>
      </c>
      <c r="BA21" s="157">
        <f t="shared" ref="BA21:BA28" si="74">AZ21-AZ20</f>
        <v>29.823230952696523</v>
      </c>
      <c r="BB21" s="382">
        <f t="shared" si="63"/>
        <v>50.920778567023426</v>
      </c>
      <c r="BC21" s="368">
        <f t="shared" ref="BC21:BC28" si="75">BB21-BB20</f>
        <v>27.055457636484192</v>
      </c>
      <c r="BE21" s="371"/>
      <c r="BF21" s="403"/>
      <c r="BG21" s="157"/>
      <c r="BH21" s="371"/>
      <c r="BJ21" s="405"/>
      <c r="BK21" s="405"/>
      <c r="BL21" s="368"/>
      <c r="BM21" s="400"/>
      <c r="BP21" s="459"/>
      <c r="BQ21" s="364"/>
      <c r="BR21" s="244"/>
      <c r="BS21" s="379"/>
      <c r="BT21" s="368"/>
    </row>
    <row r="22" spans="1:88" ht="26">
      <c r="A22" s="138" t="s">
        <v>165</v>
      </c>
      <c r="B22" s="114">
        <v>80</v>
      </c>
      <c r="C22" s="219">
        <v>0.1</v>
      </c>
      <c r="D22" s="117">
        <f t="shared" si="46"/>
        <v>0.13500000000000001</v>
      </c>
      <c r="E22" s="114">
        <f t="shared" si="65"/>
        <v>10.8</v>
      </c>
      <c r="F22" s="115">
        <f t="shared" si="47"/>
        <v>21.6</v>
      </c>
      <c r="G22" s="118">
        <f t="shared" si="48"/>
        <v>0.9</v>
      </c>
      <c r="H22" s="119">
        <f t="shared" si="54"/>
        <v>5.6548667764616276</v>
      </c>
      <c r="I22" s="118">
        <f t="shared" si="49"/>
        <v>2.5446900494077327</v>
      </c>
      <c r="J22" s="219">
        <v>0.7</v>
      </c>
      <c r="K22" s="115">
        <f t="shared" si="68"/>
        <v>76</v>
      </c>
      <c r="L22" s="353">
        <f t="shared" si="55"/>
        <v>0.435</v>
      </c>
      <c r="M22" s="121">
        <f t="shared" si="69"/>
        <v>84.127453033419641</v>
      </c>
      <c r="N22" s="124">
        <f t="shared" si="70"/>
        <v>38.562212064773753</v>
      </c>
      <c r="O22" s="122">
        <f t="shared" si="56"/>
        <v>0.18570750209205211</v>
      </c>
      <c r="P22" s="122">
        <f t="shared" si="57"/>
        <v>0.40514011836147651</v>
      </c>
      <c r="Q22" s="122">
        <f t="shared" si="58"/>
        <v>0.4</v>
      </c>
      <c r="R22" s="118">
        <f t="shared" si="71"/>
        <v>1.9281106032386877</v>
      </c>
      <c r="S22" s="123">
        <f t="shared" si="72"/>
        <v>0.13500000000000001</v>
      </c>
      <c r="T22" s="117">
        <f t="shared" si="73"/>
        <v>10</v>
      </c>
      <c r="U22" s="356"/>
      <c r="V22" s="154">
        <f t="shared" si="59"/>
        <v>1</v>
      </c>
      <c r="W22" s="318">
        <v>10.5</v>
      </c>
      <c r="X22" s="118">
        <f t="shared" si="50"/>
        <v>346.36059005827468</v>
      </c>
      <c r="Y22" s="157">
        <f t="shared" si="51"/>
        <v>125.76488564322833</v>
      </c>
      <c r="AK22" s="161">
        <v>5</v>
      </c>
      <c r="AL22" s="54" t="s">
        <v>11</v>
      </c>
      <c r="AM22" s="149">
        <f>Y62</f>
        <v>138.65578642165923</v>
      </c>
      <c r="AN22" s="149">
        <f>M62</f>
        <v>59.474118843639111</v>
      </c>
      <c r="AO22" s="149">
        <f t="shared" si="60"/>
        <v>8246.4307200000039</v>
      </c>
      <c r="AP22" s="149">
        <f>W62</f>
        <v>10</v>
      </c>
      <c r="AQ22" s="149">
        <f t="shared" si="52"/>
        <v>314.15926535897933</v>
      </c>
      <c r="AR22" s="149">
        <f t="shared" si="44"/>
        <v>43560.000000000007</v>
      </c>
      <c r="AS22" s="321"/>
      <c r="AT22" s="222">
        <v>3</v>
      </c>
      <c r="AU22" s="149">
        <f t="shared" si="45"/>
        <v>178.42235653091734</v>
      </c>
      <c r="AV22" s="149">
        <f t="shared" si="53"/>
        <v>942.47779607693792</v>
      </c>
      <c r="AW22" s="172">
        <f t="shared" si="62"/>
        <v>42675.394606363749</v>
      </c>
      <c r="AY22" s="138">
        <v>80</v>
      </c>
      <c r="AZ22" s="118">
        <f>AU56</f>
        <v>84.311357697102153</v>
      </c>
      <c r="BA22" s="157">
        <f t="shared" si="74"/>
        <v>28.181383482672231</v>
      </c>
      <c r="BB22" s="382">
        <f t="shared" si="63"/>
        <v>76.486761949652688</v>
      </c>
      <c r="BC22" s="368">
        <f t="shared" si="75"/>
        <v>25.565983382629263</v>
      </c>
      <c r="BE22" s="371">
        <f>AT52</f>
        <v>128</v>
      </c>
      <c r="BF22" s="403">
        <f>AY22</f>
        <v>80</v>
      </c>
      <c r="BG22" s="157">
        <f>AZ22</f>
        <v>84.311357697102153</v>
      </c>
      <c r="BH22" s="371">
        <f>BG22-BG20</f>
        <v>58.004614435368751</v>
      </c>
      <c r="BJ22" s="410">
        <f>BF22</f>
        <v>80</v>
      </c>
      <c r="BK22" s="404">
        <f>BE22</f>
        <v>128</v>
      </c>
      <c r="BL22" s="368">
        <f>BH22*2000/2204.6</f>
        <v>52.621441019113448</v>
      </c>
      <c r="BM22" s="400">
        <f>BG22*2000/2204.6</f>
        <v>76.486761949652688</v>
      </c>
      <c r="BP22" s="459"/>
      <c r="BQ22" s="364"/>
      <c r="BR22" s="244"/>
      <c r="BS22" s="379"/>
      <c r="BT22" s="368"/>
    </row>
    <row r="23" spans="1:88" ht="25" thickBot="1">
      <c r="A23" s="138" t="s">
        <v>12</v>
      </c>
      <c r="B23" s="114">
        <v>100</v>
      </c>
      <c r="C23" s="219">
        <v>0.06</v>
      </c>
      <c r="D23" s="117">
        <f t="shared" si="46"/>
        <v>0.12</v>
      </c>
      <c r="E23" s="114">
        <f t="shared" si="65"/>
        <v>12</v>
      </c>
      <c r="F23" s="115">
        <f t="shared" si="47"/>
        <v>24</v>
      </c>
      <c r="G23" s="118">
        <f t="shared" si="48"/>
        <v>1</v>
      </c>
      <c r="H23" s="119">
        <f t="shared" si="54"/>
        <v>6.2831853071795862</v>
      </c>
      <c r="I23" s="118">
        <f t="shared" si="49"/>
        <v>3.1415926535897931</v>
      </c>
      <c r="J23" s="219">
        <v>0.5</v>
      </c>
      <c r="K23" s="115">
        <f t="shared" si="68"/>
        <v>86</v>
      </c>
      <c r="L23" s="353">
        <f t="shared" si="55"/>
        <v>0.435</v>
      </c>
      <c r="M23" s="121">
        <f t="shared" si="69"/>
        <v>117.52698117079416</v>
      </c>
      <c r="N23" s="118">
        <f t="shared" si="70"/>
        <v>33.399528137374517</v>
      </c>
      <c r="O23" s="122">
        <f t="shared" si="56"/>
        <v>0.16084510222148282</v>
      </c>
      <c r="P23" s="122">
        <f t="shared" si="57"/>
        <v>0.5659852205829593</v>
      </c>
      <c r="Q23" s="122">
        <f t="shared" si="58"/>
        <v>0.5</v>
      </c>
      <c r="R23" s="118">
        <f t="shared" si="71"/>
        <v>1.6699764068687259</v>
      </c>
      <c r="S23" s="123">
        <f t="shared" si="72"/>
        <v>0.12</v>
      </c>
      <c r="T23" s="117">
        <f t="shared" si="73"/>
        <v>16.666666666666668</v>
      </c>
      <c r="U23" s="356"/>
      <c r="V23" s="154">
        <f t="shared" si="59"/>
        <v>1</v>
      </c>
      <c r="W23" s="318">
        <v>11.5</v>
      </c>
      <c r="X23" s="118">
        <f t="shared" si="50"/>
        <v>415.47562843725012</v>
      </c>
      <c r="Y23" s="157">
        <f t="shared" si="51"/>
        <v>104.84369483679336</v>
      </c>
      <c r="AK23" s="162">
        <v>6</v>
      </c>
      <c r="AL23" s="163" t="s">
        <v>11</v>
      </c>
      <c r="AM23" s="164">
        <f>Y76</f>
        <v>114.59155902616465</v>
      </c>
      <c r="AN23" s="164">
        <f>M76</f>
        <v>58.421842384319191</v>
      </c>
      <c r="AO23" s="164">
        <f>AM23*AN23</f>
        <v>6694.6500000000005</v>
      </c>
      <c r="AP23" s="164">
        <f>W76</f>
        <v>11</v>
      </c>
      <c r="AQ23" s="164">
        <f>AP23^2*PI()</f>
        <v>380.13271108436498</v>
      </c>
      <c r="AR23" s="164">
        <f t="shared" si="44"/>
        <v>43560</v>
      </c>
      <c r="AS23" s="341"/>
      <c r="AT23" s="223">
        <v>1</v>
      </c>
      <c r="AU23" s="164">
        <f>AT23*AN23</f>
        <v>58.421842384319191</v>
      </c>
      <c r="AV23" s="164">
        <f>AT23*AQ23</f>
        <v>380.13271108436498</v>
      </c>
      <c r="AW23" s="173">
        <f t="shared" si="62"/>
        <v>43055.527317448112</v>
      </c>
      <c r="AY23" s="138">
        <v>100</v>
      </c>
      <c r="AZ23" s="118">
        <f>AU70</f>
        <v>103.16177862352926</v>
      </c>
      <c r="BA23" s="157">
        <f t="shared" si="74"/>
        <v>18.850420926427105</v>
      </c>
      <c r="BB23" s="382">
        <f t="shared" si="63"/>
        <v>93.587751631615049</v>
      </c>
      <c r="BC23" s="368">
        <f t="shared" si="75"/>
        <v>17.100989681962361</v>
      </c>
      <c r="BE23" s="371"/>
      <c r="BF23" s="403"/>
      <c r="BG23" s="157"/>
      <c r="BH23" s="371"/>
      <c r="BJ23" s="405"/>
      <c r="BK23" s="405"/>
      <c r="BL23" s="368"/>
      <c r="BM23" s="400"/>
      <c r="BP23" s="459">
        <v>100</v>
      </c>
      <c r="BQ23" s="364">
        <f>AZ23</f>
        <v>103.16177862352926</v>
      </c>
      <c r="BR23" s="244">
        <f>BQ23-BQ20</f>
        <v>61.943419885447597</v>
      </c>
      <c r="BS23" s="379">
        <f>BQ23*2000/2204.6</f>
        <v>93.587751631615049</v>
      </c>
      <c r="BT23" s="368">
        <f>BS23-BS20</f>
        <v>56.194701882833719</v>
      </c>
    </row>
    <row r="24" spans="1:88" ht="68" thickBot="1">
      <c r="A24" s="138" t="s">
        <v>13</v>
      </c>
      <c r="B24" s="114">
        <v>120</v>
      </c>
      <c r="C24" s="219">
        <v>0.04</v>
      </c>
      <c r="D24" s="117">
        <f t="shared" si="46"/>
        <v>0.10666666666666667</v>
      </c>
      <c r="E24" s="114">
        <f t="shared" si="65"/>
        <v>12.8</v>
      </c>
      <c r="F24" s="115">
        <f t="shared" si="47"/>
        <v>25.6</v>
      </c>
      <c r="G24" s="118">
        <f t="shared" si="48"/>
        <v>1.0666666666666667</v>
      </c>
      <c r="H24" s="119">
        <f t="shared" si="54"/>
        <v>6.702064327658225</v>
      </c>
      <c r="I24" s="118">
        <f t="shared" si="49"/>
        <v>3.574434308084387</v>
      </c>
      <c r="J24" s="219">
        <v>0.4</v>
      </c>
      <c r="K24" s="115">
        <f t="shared" si="68"/>
        <v>94</v>
      </c>
      <c r="L24" s="353">
        <f t="shared" si="55"/>
        <v>0.435</v>
      </c>
      <c r="M24" s="121">
        <f t="shared" si="69"/>
        <v>146.15861885757059</v>
      </c>
      <c r="N24" s="118">
        <f t="shared" si="70"/>
        <v>28.631637686776429</v>
      </c>
      <c r="O24" s="122">
        <f t="shared" si="56"/>
        <v>0.13788394469395718</v>
      </c>
      <c r="P24" s="122">
        <f t="shared" si="57"/>
        <v>0.70386916527691645</v>
      </c>
      <c r="Q24" s="122">
        <f t="shared" si="58"/>
        <v>0.6</v>
      </c>
      <c r="R24" s="118">
        <f t="shared" si="71"/>
        <v>1.4315818843388215</v>
      </c>
      <c r="S24" s="123">
        <f t="shared" si="72"/>
        <v>0.10666666666666667</v>
      </c>
      <c r="T24" s="117">
        <f t="shared" si="73"/>
        <v>25</v>
      </c>
      <c r="U24" s="356"/>
      <c r="V24" s="154">
        <f t="shared" si="59"/>
        <v>1</v>
      </c>
      <c r="W24" s="318">
        <v>12.5</v>
      </c>
      <c r="X24" s="118">
        <f t="shared" si="50"/>
        <v>490.87385212340519</v>
      </c>
      <c r="Y24" s="157">
        <f t="shared" si="51"/>
        <v>88.739703309861895</v>
      </c>
      <c r="AM24" s="323">
        <f>SUM(AM18:AM23)</f>
        <v>1052.9446648684757</v>
      </c>
      <c r="AR24" s="37"/>
      <c r="AS24" s="320"/>
      <c r="AT24" s="358">
        <v>200</v>
      </c>
      <c r="AU24" s="160">
        <f>SUM(AU18:AU23)</f>
        <v>4129.0789218773452</v>
      </c>
      <c r="AV24" s="160">
        <f>AU24*12.5/2000</f>
        <v>25.806743261733409</v>
      </c>
      <c r="AY24" s="138">
        <v>120</v>
      </c>
      <c r="AZ24" s="118">
        <f>AU84</f>
        <v>114.36000722432198</v>
      </c>
      <c r="BA24" s="157">
        <f t="shared" si="74"/>
        <v>11.198228600792717</v>
      </c>
      <c r="BB24" s="382">
        <f t="shared" si="63"/>
        <v>103.74671797543498</v>
      </c>
      <c r="BC24" s="368">
        <f t="shared" si="75"/>
        <v>10.158966343819927</v>
      </c>
      <c r="BE24" s="371">
        <f>AT80</f>
        <v>94</v>
      </c>
      <c r="BF24" s="403">
        <f>AY24</f>
        <v>120</v>
      </c>
      <c r="BG24" s="157">
        <f>AZ24</f>
        <v>114.36000722432198</v>
      </c>
      <c r="BH24" s="371">
        <f>BG24-BG22</f>
        <v>30.048649527219823</v>
      </c>
      <c r="BJ24" s="410">
        <f>BF24</f>
        <v>120</v>
      </c>
      <c r="BK24" s="404">
        <f>BE24</f>
        <v>94</v>
      </c>
      <c r="BL24" s="368">
        <f>BH24*2000/2204.6</f>
        <v>27.259956025782294</v>
      </c>
      <c r="BM24" s="400">
        <f>BG24*2000/2204.6</f>
        <v>103.74671797543498</v>
      </c>
      <c r="BP24" s="459"/>
      <c r="BQ24" s="364"/>
      <c r="BR24" s="244"/>
      <c r="BS24" s="379"/>
      <c r="BT24" s="368"/>
      <c r="BV24" s="150" t="s">
        <v>4</v>
      </c>
      <c r="BW24" s="151" t="s">
        <v>251</v>
      </c>
      <c r="BX24" s="151" t="s">
        <v>252</v>
      </c>
      <c r="BY24" s="151" t="s">
        <v>253</v>
      </c>
      <c r="BZ24" s="151" t="s">
        <v>254</v>
      </c>
      <c r="CA24" s="151" t="s">
        <v>255</v>
      </c>
      <c r="CB24" s="152" t="s">
        <v>256</v>
      </c>
      <c r="CC24" s="152" t="s">
        <v>340</v>
      </c>
      <c r="CD24" s="152" t="s">
        <v>341</v>
      </c>
      <c r="CE24" s="152" t="s">
        <v>343</v>
      </c>
      <c r="CF24" s="239" t="s">
        <v>351</v>
      </c>
      <c r="CG24" s="239" t="s">
        <v>352</v>
      </c>
      <c r="CH24" s="239" t="s">
        <v>353</v>
      </c>
      <c r="CI24" s="239" t="s">
        <v>354</v>
      </c>
      <c r="CJ24" s="152" t="s">
        <v>342</v>
      </c>
    </row>
    <row r="25" spans="1:88" ht="25" thickBot="1">
      <c r="A25" s="138" t="s">
        <v>14</v>
      </c>
      <c r="B25" s="114">
        <v>140</v>
      </c>
      <c r="C25" s="219">
        <v>0.03</v>
      </c>
      <c r="D25" s="117">
        <f t="shared" si="46"/>
        <v>9.571428571428571E-2</v>
      </c>
      <c r="E25" s="114">
        <f t="shared" si="65"/>
        <v>13.4</v>
      </c>
      <c r="F25" s="115">
        <f t="shared" si="47"/>
        <v>26.8</v>
      </c>
      <c r="G25" s="118">
        <f t="shared" si="48"/>
        <v>1.1166666666666667</v>
      </c>
      <c r="H25" s="119">
        <f t="shared" si="54"/>
        <v>7.0162235930172052</v>
      </c>
      <c r="I25" s="118">
        <f t="shared" si="49"/>
        <v>3.9173915061012723</v>
      </c>
      <c r="J25" s="219">
        <v>0.3</v>
      </c>
      <c r="K25" s="115">
        <f t="shared" si="68"/>
        <v>100</v>
      </c>
      <c r="L25" s="353">
        <f t="shared" si="55"/>
        <v>0.435</v>
      </c>
      <c r="M25" s="121">
        <f t="shared" si="69"/>
        <v>170.40653051540534</v>
      </c>
      <c r="N25" s="118">
        <f t="shared" si="70"/>
        <v>24.247911657834749</v>
      </c>
      <c r="O25" s="122">
        <f t="shared" si="56"/>
        <v>0.11677284221562359</v>
      </c>
      <c r="P25" s="122">
        <f t="shared" si="57"/>
        <v>0.82064200749254002</v>
      </c>
      <c r="Q25" s="122">
        <f t="shared" si="58"/>
        <v>0.7</v>
      </c>
      <c r="R25" s="118">
        <f t="shared" si="71"/>
        <v>1.2123955828917374</v>
      </c>
      <c r="S25" s="123">
        <f t="shared" si="72"/>
        <v>9.571428571428571E-2</v>
      </c>
      <c r="T25" s="117">
        <f t="shared" si="73"/>
        <v>33.333333333333336</v>
      </c>
      <c r="U25" s="356"/>
      <c r="V25" s="154">
        <f t="shared" si="59"/>
        <v>1</v>
      </c>
      <c r="W25" s="318">
        <v>13.5</v>
      </c>
      <c r="X25" s="118">
        <f t="shared" si="50"/>
        <v>572.55526111673976</v>
      </c>
      <c r="Y25" s="157">
        <f t="shared" si="51"/>
        <v>76.079992549607255</v>
      </c>
      <c r="AM25" s="324">
        <f>AM24/6</f>
        <v>175.49077747807928</v>
      </c>
      <c r="AR25" s="37" t="s">
        <v>258</v>
      </c>
      <c r="AS25" s="320"/>
      <c r="AT25" s="325">
        <f>SUM(AT19:AT23)+IF(AT18&gt;0,AT18,0)</f>
        <v>200</v>
      </c>
      <c r="AU25" s="326">
        <f>SUM(AU19:AU23)+IF(AT18&gt;0,AU18,0)</f>
        <v>4129.0789218773443</v>
      </c>
      <c r="AV25" s="160">
        <f>AU25*12.5/2000</f>
        <v>25.806743261733402</v>
      </c>
      <c r="AY25" s="138">
        <v>140</v>
      </c>
      <c r="AZ25" s="118">
        <f>AU98</f>
        <v>125.01040665960068</v>
      </c>
      <c r="BA25" s="157">
        <f t="shared" si="74"/>
        <v>10.6503994352787</v>
      </c>
      <c r="BB25" s="382">
        <f t="shared" si="63"/>
        <v>113.40869696053768</v>
      </c>
      <c r="BC25" s="368">
        <f t="shared" si="75"/>
        <v>9.6619789851027065</v>
      </c>
      <c r="BE25" s="371"/>
      <c r="BF25" s="403"/>
      <c r="BG25" s="157"/>
      <c r="BH25" s="371"/>
      <c r="BJ25" s="405"/>
      <c r="BK25" s="405"/>
      <c r="BL25" s="368"/>
      <c r="BM25" s="400"/>
      <c r="BP25" s="460">
        <v>150</v>
      </c>
      <c r="BQ25" s="381">
        <f>AVERAGE(AZ25,AZ26)</f>
        <v>124.53203378763473</v>
      </c>
      <c r="BR25" s="312">
        <f>BQ25-BQ23</f>
        <v>21.370255164105473</v>
      </c>
      <c r="BS25" s="380">
        <f>BQ25*2000/2204.6</f>
        <v>112.97471993797944</v>
      </c>
      <c r="BT25" s="372">
        <f>BS25-BS23</f>
        <v>19.386968306364395</v>
      </c>
      <c r="BV25" s="313">
        <f t="shared" ref="BV25:CB25" si="76">BB4</f>
        <v>0</v>
      </c>
      <c r="BW25" s="314">
        <f t="shared" si="76"/>
        <v>0</v>
      </c>
      <c r="BX25" s="314">
        <f t="shared" si="76"/>
        <v>0</v>
      </c>
      <c r="BY25" s="314">
        <f t="shared" si="76"/>
        <v>0</v>
      </c>
      <c r="BZ25" s="314">
        <f t="shared" si="76"/>
        <v>0</v>
      </c>
      <c r="CA25" s="315">
        <f t="shared" si="76"/>
        <v>0</v>
      </c>
      <c r="CB25" s="316">
        <f t="shared" si="76"/>
        <v>0</v>
      </c>
      <c r="CC25" s="316">
        <f>AVERAGE(BW25:CB25)</f>
        <v>0</v>
      </c>
      <c r="CD25" s="316"/>
      <c r="CE25" s="422"/>
      <c r="CF25" s="114">
        <f>BX25</f>
        <v>0</v>
      </c>
      <c r="CG25" s="114">
        <f t="shared" ref="CG25:CI25" si="77">BY25</f>
        <v>0</v>
      </c>
      <c r="CH25" s="114">
        <f t="shared" si="77"/>
        <v>0</v>
      </c>
      <c r="CI25" s="114">
        <f t="shared" si="77"/>
        <v>0</v>
      </c>
      <c r="CJ25" s="316"/>
    </row>
    <row r="26" spans="1:88" ht="25" thickBot="1">
      <c r="A26" s="138" t="s">
        <v>15</v>
      </c>
      <c r="B26" s="114">
        <v>160</v>
      </c>
      <c r="C26" s="219">
        <v>0.02</v>
      </c>
      <c r="D26" s="117">
        <f t="shared" si="46"/>
        <v>8.6250000000000007E-2</v>
      </c>
      <c r="E26" s="114">
        <f t="shared" si="65"/>
        <v>13.8</v>
      </c>
      <c r="F26" s="115">
        <f t="shared" si="47"/>
        <v>27.6</v>
      </c>
      <c r="G26" s="118">
        <f t="shared" si="48"/>
        <v>1.1500000000000001</v>
      </c>
      <c r="H26" s="119">
        <f t="shared" si="54"/>
        <v>7.2256631032565251</v>
      </c>
      <c r="I26" s="118">
        <f t="shared" si="49"/>
        <v>4.1547562843725023</v>
      </c>
      <c r="J26" s="219">
        <v>0.2</v>
      </c>
      <c r="K26" s="115">
        <f t="shared" si="68"/>
        <v>104</v>
      </c>
      <c r="L26" s="353">
        <f t="shared" si="55"/>
        <v>0.435</v>
      </c>
      <c r="M26" s="121">
        <f t="shared" si="69"/>
        <v>187.96117430501201</v>
      </c>
      <c r="N26" s="118">
        <f t="shared" si="70"/>
        <v>17.554643789606672</v>
      </c>
      <c r="O26" s="122">
        <f t="shared" si="56"/>
        <v>8.4539472030486007E-2</v>
      </c>
      <c r="P26" s="122">
        <f t="shared" si="57"/>
        <v>0.90518147952302608</v>
      </c>
      <c r="Q26" s="122">
        <f t="shared" si="58"/>
        <v>0.8</v>
      </c>
      <c r="R26" s="118">
        <f t="shared" si="71"/>
        <v>0.8777321894803336</v>
      </c>
      <c r="S26" s="123">
        <f t="shared" si="72"/>
        <v>8.6250000000000007E-2</v>
      </c>
      <c r="T26" s="117">
        <f t="shared" si="73"/>
        <v>50</v>
      </c>
      <c r="U26" s="356"/>
      <c r="V26" s="154">
        <f t="shared" si="59"/>
        <v>1</v>
      </c>
      <c r="W26" s="318">
        <v>14</v>
      </c>
      <c r="X26" s="118">
        <f t="shared" si="50"/>
        <v>615.75216010359941</v>
      </c>
      <c r="Y26" s="157">
        <f t="shared" si="51"/>
        <v>70.742748174315935</v>
      </c>
      <c r="AR26" s="37" t="s">
        <v>262</v>
      </c>
      <c r="AS26" s="37"/>
      <c r="AT26" s="37"/>
      <c r="AU26" s="215">
        <f>AU25*R1*T1/100/2000</f>
        <v>25.806743261733398</v>
      </c>
      <c r="AY26" s="138">
        <v>160</v>
      </c>
      <c r="AZ26" s="118">
        <f>AU112</f>
        <v>124.05366091566879</v>
      </c>
      <c r="BA26" s="157">
        <f t="shared" si="74"/>
        <v>-0.95674574393189005</v>
      </c>
      <c r="BB26" s="382">
        <f t="shared" si="63"/>
        <v>112.54074291542121</v>
      </c>
      <c r="BC26" s="368">
        <f t="shared" si="75"/>
        <v>-0.86795404511647689</v>
      </c>
      <c r="BE26" s="371">
        <f>AT108</f>
        <v>70</v>
      </c>
      <c r="BF26" s="403">
        <f>AY26</f>
        <v>160</v>
      </c>
      <c r="BG26" s="157">
        <f>AZ26</f>
        <v>124.05366091566879</v>
      </c>
      <c r="BH26" s="371">
        <f>BG26-BG24</f>
        <v>9.6936536913468103</v>
      </c>
      <c r="BJ26" s="455">
        <f>BF26</f>
        <v>160</v>
      </c>
      <c r="BK26" s="406">
        <f>BE26</f>
        <v>70</v>
      </c>
      <c r="BL26" s="372">
        <f>BH26*2000/2204.6</f>
        <v>8.7940249399862207</v>
      </c>
      <c r="BM26" s="401">
        <f>BG26*2000/2204.6</f>
        <v>112.54074291542121</v>
      </c>
      <c r="BP26" s="461"/>
      <c r="BQ26" s="363"/>
      <c r="BR26" s="316"/>
      <c r="BS26" s="378"/>
      <c r="BT26" s="368"/>
      <c r="BV26" s="138">
        <f t="shared" ref="BV26:CB26" si="78">BB6</f>
        <v>40</v>
      </c>
      <c r="BW26" s="114">
        <f t="shared" si="78"/>
        <v>10.676506283684063</v>
      </c>
      <c r="BX26" s="114">
        <f t="shared" si="78"/>
        <v>17.881107626192147</v>
      </c>
      <c r="BY26" s="114">
        <f t="shared" si="78"/>
        <v>25.655502246275688</v>
      </c>
      <c r="BZ26" s="114">
        <f t="shared" si="78"/>
        <v>38.684825808049489</v>
      </c>
      <c r="CA26" s="310">
        <f t="shared" si="78"/>
        <v>59.474118843639111</v>
      </c>
      <c r="CB26" s="244">
        <f t="shared" si="78"/>
        <v>58.421842384319191</v>
      </c>
      <c r="CC26" s="244">
        <f>AVERAGE(BW26:CB26)</f>
        <v>35.132317198693279</v>
      </c>
      <c r="CD26" s="244">
        <f>CC26-CC25</f>
        <v>35.132317198693279</v>
      </c>
      <c r="CE26" s="244">
        <f>BW26-BW25</f>
        <v>10.676506283684063</v>
      </c>
      <c r="CF26" s="316">
        <f>BX26-BX25</f>
        <v>17.881107626192147</v>
      </c>
      <c r="CG26" s="316">
        <f t="shared" ref="CG26:CI30" si="79">BY26-BY25</f>
        <v>25.655502246275688</v>
      </c>
      <c r="CH26" s="316">
        <f t="shared" si="79"/>
        <v>38.684825808049489</v>
      </c>
      <c r="CI26" s="316">
        <f t="shared" si="79"/>
        <v>59.474118843639111</v>
      </c>
      <c r="CJ26" s="244">
        <f>CB26-CB25</f>
        <v>58.421842384319191</v>
      </c>
    </row>
    <row r="27" spans="1:88" ht="25" thickBot="1">
      <c r="A27" s="138" t="s">
        <v>16</v>
      </c>
      <c r="B27" s="114">
        <v>180</v>
      </c>
      <c r="C27" s="219">
        <v>1.4999999999999999E-2</v>
      </c>
      <c r="D27" s="117">
        <f t="shared" si="46"/>
        <v>7.8333333333333338E-2</v>
      </c>
      <c r="E27" s="114">
        <f t="shared" si="65"/>
        <v>14.100000000000001</v>
      </c>
      <c r="F27" s="115">
        <f t="shared" si="47"/>
        <v>28.200000000000003</v>
      </c>
      <c r="G27" s="118">
        <f t="shared" si="48"/>
        <v>1.175</v>
      </c>
      <c r="H27" s="119">
        <f t="shared" si="54"/>
        <v>7.3827427359360138</v>
      </c>
      <c r="I27" s="118">
        <f t="shared" si="49"/>
        <v>4.3373613573624086</v>
      </c>
      <c r="J27" s="219">
        <v>0.1</v>
      </c>
      <c r="K27" s="115">
        <f t="shared" si="68"/>
        <v>106</v>
      </c>
      <c r="L27" s="353">
        <f t="shared" si="55"/>
        <v>0.435</v>
      </c>
      <c r="M27" s="121">
        <f t="shared" si="69"/>
        <v>199.99573218798068</v>
      </c>
      <c r="N27" s="118">
        <f t="shared" si="70"/>
        <v>12.03455788296867</v>
      </c>
      <c r="O27" s="122">
        <f t="shared" si="56"/>
        <v>5.7955899404170737E-2</v>
      </c>
      <c r="P27" s="122">
        <f t="shared" si="57"/>
        <v>0.96313737892719675</v>
      </c>
      <c r="Q27" s="122">
        <f t="shared" si="58"/>
        <v>0.9</v>
      </c>
      <c r="R27" s="118">
        <f t="shared" si="71"/>
        <v>0.60172789414843353</v>
      </c>
      <c r="S27" s="123">
        <f t="shared" si="72"/>
        <v>7.8333333333333338E-2</v>
      </c>
      <c r="T27" s="117">
        <f t="shared" si="73"/>
        <v>66.666666666666671</v>
      </c>
      <c r="U27" s="356"/>
      <c r="V27" s="154">
        <f t="shared" si="59"/>
        <v>1</v>
      </c>
      <c r="W27" s="318">
        <v>14.25</v>
      </c>
      <c r="X27" s="118">
        <f t="shared" si="50"/>
        <v>637.93965821957738</v>
      </c>
      <c r="Y27" s="157">
        <f t="shared" si="51"/>
        <v>68.282320183027011</v>
      </c>
      <c r="AR27" s="37" t="s">
        <v>263</v>
      </c>
      <c r="AS27" s="37"/>
      <c r="AT27" s="37"/>
      <c r="AU27" s="215">
        <v>0.5</v>
      </c>
      <c r="AY27" s="138">
        <v>180</v>
      </c>
      <c r="AZ27" s="118">
        <f>AU126</f>
        <v>113.72987200066594</v>
      </c>
      <c r="BA27" s="157">
        <f t="shared" si="74"/>
        <v>-10.323788915002851</v>
      </c>
      <c r="BB27" s="382">
        <f t="shared" si="63"/>
        <v>103.17506305059054</v>
      </c>
      <c r="BC27" s="368">
        <f t="shared" si="75"/>
        <v>-9.3656798648306676</v>
      </c>
      <c r="BE27" s="371"/>
      <c r="BF27" s="403"/>
      <c r="BG27" s="157"/>
      <c r="BH27" s="371"/>
      <c r="BJ27" s="404"/>
      <c r="BK27" s="404"/>
      <c r="BL27" s="368"/>
      <c r="BM27" s="382"/>
      <c r="BP27" s="459"/>
      <c r="BQ27" s="364"/>
      <c r="BR27" s="244"/>
      <c r="BS27" s="379"/>
      <c r="BT27" s="368"/>
      <c r="BV27" s="138">
        <f t="shared" ref="BV27:CB27" si="80">BB8</f>
        <v>80</v>
      </c>
      <c r="BW27" s="114">
        <f t="shared" si="80"/>
        <v>52.914473382943612</v>
      </c>
      <c r="BX27" s="114">
        <f t="shared" si="80"/>
        <v>84.127453033419641</v>
      </c>
      <c r="BY27" s="114">
        <f t="shared" si="80"/>
        <v>112.90789749222111</v>
      </c>
      <c r="BZ27" s="114">
        <f t="shared" si="80"/>
        <v>171.61178944698565</v>
      </c>
      <c r="CA27" s="310">
        <f t="shared" si="80"/>
        <v>276.00084088897461</v>
      </c>
      <c r="CB27" s="244">
        <f t="shared" si="80"/>
        <v>302.29459891623054</v>
      </c>
      <c r="CC27" s="244">
        <f t="shared" ref="CC27:CC30" si="81">AVERAGE(BW27:CB27)</f>
        <v>166.64284219346254</v>
      </c>
      <c r="CD27" s="244">
        <f t="shared" ref="CD27:CD30" si="82">CC27-CC26</f>
        <v>131.51052499476927</v>
      </c>
      <c r="CE27" s="244">
        <f t="shared" ref="CE27:CE30" si="83">BW27-BW26</f>
        <v>42.237967099259549</v>
      </c>
      <c r="CF27" s="316">
        <f t="shared" ref="CF27:CF30" si="84">BX27-BX26</f>
        <v>66.246345407227494</v>
      </c>
      <c r="CG27" s="316">
        <f t="shared" si="79"/>
        <v>87.252395245945422</v>
      </c>
      <c r="CH27" s="316">
        <f t="shared" si="79"/>
        <v>132.92696363893617</v>
      </c>
      <c r="CI27" s="316">
        <f t="shared" si="79"/>
        <v>216.5267220453355</v>
      </c>
      <c r="CJ27" s="244">
        <f>CB27-CB26</f>
        <v>243.87275653191136</v>
      </c>
    </row>
    <row r="28" spans="1:88" ht="25" thickBot="1">
      <c r="A28" s="139" t="s">
        <v>17</v>
      </c>
      <c r="B28" s="140">
        <v>200</v>
      </c>
      <c r="C28" s="220">
        <v>0.01</v>
      </c>
      <c r="D28" s="141">
        <f t="shared" si="46"/>
        <v>7.1500000000000008E-2</v>
      </c>
      <c r="E28" s="140">
        <f t="shared" si="65"/>
        <v>14.3</v>
      </c>
      <c r="F28" s="142">
        <f t="shared" si="47"/>
        <v>28.6</v>
      </c>
      <c r="G28" s="143">
        <f t="shared" si="48"/>
        <v>1.1916666666666667</v>
      </c>
      <c r="H28" s="144">
        <f t="shared" si="54"/>
        <v>7.4874624910556733</v>
      </c>
      <c r="I28" s="143">
        <f t="shared" si="49"/>
        <v>4.4612797342540054</v>
      </c>
      <c r="J28" s="220">
        <v>0.05</v>
      </c>
      <c r="K28" s="142">
        <f t="shared" si="68"/>
        <v>107</v>
      </c>
      <c r="L28" s="354">
        <f t="shared" si="55"/>
        <v>0.435</v>
      </c>
      <c r="M28" s="145">
        <f t="shared" si="69"/>
        <v>207.65026523085268</v>
      </c>
      <c r="N28" s="143">
        <f t="shared" si="70"/>
        <v>7.6545330428720035</v>
      </c>
      <c r="O28" s="146">
        <f t="shared" si="56"/>
        <v>3.6862621072803199E-2</v>
      </c>
      <c r="P28" s="146">
        <f t="shared" si="57"/>
        <v>1</v>
      </c>
      <c r="Q28" s="146">
        <f t="shared" si="58"/>
        <v>1</v>
      </c>
      <c r="R28" s="143">
        <f t="shared" si="71"/>
        <v>0.38272665214360019</v>
      </c>
      <c r="S28" s="147">
        <f t="shared" si="72"/>
        <v>7.1500000000000008E-2</v>
      </c>
      <c r="T28" s="141">
        <f t="shared" si="73"/>
        <v>100</v>
      </c>
      <c r="U28" s="357"/>
      <c r="V28" s="165">
        <f t="shared" si="59"/>
        <v>1</v>
      </c>
      <c r="W28" s="319">
        <v>14.25</v>
      </c>
      <c r="X28" s="143">
        <f t="shared" si="50"/>
        <v>637.93965821957738</v>
      </c>
      <c r="Y28" s="158">
        <f t="shared" si="51"/>
        <v>68.282320183027011</v>
      </c>
      <c r="AR28" s="37" t="s">
        <v>264</v>
      </c>
      <c r="AS28" s="37"/>
      <c r="AT28" s="37"/>
      <c r="AU28" s="215">
        <f>SUM(AU26:AU27)</f>
        <v>26.306743261733398</v>
      </c>
      <c r="AY28" s="417">
        <v>200</v>
      </c>
      <c r="AZ28" s="423">
        <f>AU140</f>
        <v>110.86319789494696</v>
      </c>
      <c r="BA28" s="419">
        <f t="shared" si="74"/>
        <v>-2.8666741057189711</v>
      </c>
      <c r="BB28" s="424">
        <f t="shared" si="63"/>
        <v>100.57443336201304</v>
      </c>
      <c r="BC28" s="425">
        <f t="shared" si="75"/>
        <v>-2.6006296885774987</v>
      </c>
      <c r="BE28" s="426">
        <f>AT136</f>
        <v>50</v>
      </c>
      <c r="BF28" s="427">
        <f>AY28</f>
        <v>200</v>
      </c>
      <c r="BG28" s="419">
        <f>AZ28</f>
        <v>110.86319789494696</v>
      </c>
      <c r="BH28" s="426">
        <f>BG28-BG26</f>
        <v>-13.190463020721822</v>
      </c>
      <c r="BJ28" s="410">
        <f>BF28</f>
        <v>200</v>
      </c>
      <c r="BK28" s="406">
        <f>BE28</f>
        <v>50</v>
      </c>
      <c r="BL28" s="372">
        <f>BH28*2000/2204.6</f>
        <v>-11.966309553408166</v>
      </c>
      <c r="BM28" s="401">
        <f>BG28*2000/2204.6</f>
        <v>100.57443336201304</v>
      </c>
      <c r="BP28" s="460">
        <v>200</v>
      </c>
      <c r="BQ28" s="381">
        <f>AZ28</f>
        <v>110.86319789494696</v>
      </c>
      <c r="BR28" s="312">
        <f>BQ28-BQ25</f>
        <v>-13.668835892687767</v>
      </c>
      <c r="BS28" s="380">
        <f>BQ28*2000/2204.6</f>
        <v>100.57443336201304</v>
      </c>
      <c r="BT28" s="372">
        <f>BS28-BS25</f>
        <v>-12.400286575966405</v>
      </c>
      <c r="BV28" s="138">
        <f t="shared" ref="BV28:CB28" si="85">BB10</f>
        <v>120</v>
      </c>
      <c r="BW28" s="114">
        <f t="shared" si="85"/>
        <v>94.166785422093426</v>
      </c>
      <c r="BX28" s="114">
        <f t="shared" si="85"/>
        <v>146.15861885757059</v>
      </c>
      <c r="BY28" s="114">
        <f t="shared" si="85"/>
        <v>210.63750423788844</v>
      </c>
      <c r="BZ28" s="114">
        <f t="shared" si="85"/>
        <v>296.14255873987656</v>
      </c>
      <c r="CA28" s="310">
        <f t="shared" si="85"/>
        <v>517.20507442845349</v>
      </c>
      <c r="CB28" s="244">
        <f t="shared" si="85"/>
        <v>598.48223623819376</v>
      </c>
      <c r="CC28" s="244">
        <f t="shared" si="81"/>
        <v>310.46546298734603</v>
      </c>
      <c r="CD28" s="244">
        <f t="shared" si="82"/>
        <v>143.82262079388349</v>
      </c>
      <c r="CE28" s="244">
        <f t="shared" si="83"/>
        <v>41.252312039149814</v>
      </c>
      <c r="CF28" s="316">
        <f t="shared" si="84"/>
        <v>62.031165824150946</v>
      </c>
      <c r="CG28" s="316">
        <f t="shared" si="79"/>
        <v>97.729606745667326</v>
      </c>
      <c r="CH28" s="316">
        <f t="shared" si="79"/>
        <v>124.53076929289091</v>
      </c>
      <c r="CI28" s="316">
        <f t="shared" si="79"/>
        <v>241.20423353947888</v>
      </c>
      <c r="CJ28" s="244">
        <f>CB28-CB27</f>
        <v>296.18763732196322</v>
      </c>
    </row>
    <row r="29" spans="1:88" ht="30" thickBot="1">
      <c r="W29" s="225" t="s">
        <v>199</v>
      </c>
      <c r="X29" s="25"/>
      <c r="Y29" s="36"/>
      <c r="AY29" s="256" t="s">
        <v>357</v>
      </c>
      <c r="AZ29" s="25"/>
      <c r="BA29" s="25"/>
      <c r="BB29" s="25"/>
      <c r="BC29" s="25"/>
      <c r="BD29" s="25"/>
      <c r="BE29" s="25"/>
      <c r="BF29" s="25"/>
      <c r="BG29" s="25"/>
      <c r="BH29" s="25"/>
      <c r="BI29" s="36"/>
      <c r="BV29" s="138">
        <f t="shared" ref="BV29:CB29" si="86">BB12</f>
        <v>160</v>
      </c>
      <c r="BW29" s="114">
        <f t="shared" si="86"/>
        <v>123.33500058911831</v>
      </c>
      <c r="BX29" s="114">
        <f t="shared" si="86"/>
        <v>187.96117430501201</v>
      </c>
      <c r="BY29" s="114">
        <f t="shared" si="86"/>
        <v>297.09272034798545</v>
      </c>
      <c r="BZ29" s="114">
        <f t="shared" si="86"/>
        <v>387.44728125971818</v>
      </c>
      <c r="CA29" s="310">
        <f t="shared" si="86"/>
        <v>680.41301281359858</v>
      </c>
      <c r="CB29" s="244">
        <f t="shared" si="86"/>
        <v>829.85133292660112</v>
      </c>
      <c r="CC29" s="244">
        <f t="shared" si="81"/>
        <v>417.68342037367228</v>
      </c>
      <c r="CD29" s="244">
        <f t="shared" si="82"/>
        <v>107.21795738632625</v>
      </c>
      <c r="CE29" s="244">
        <f t="shared" si="83"/>
        <v>29.168215167024883</v>
      </c>
      <c r="CF29" s="316">
        <f t="shared" si="84"/>
        <v>41.802555447441421</v>
      </c>
      <c r="CG29" s="316">
        <f t="shared" si="79"/>
        <v>86.455216110097012</v>
      </c>
      <c r="CH29" s="316">
        <f t="shared" si="79"/>
        <v>91.304722519841619</v>
      </c>
      <c r="CI29" s="316">
        <f t="shared" si="79"/>
        <v>163.2079383851451</v>
      </c>
      <c r="CJ29" s="244">
        <f>CB29-CB28</f>
        <v>231.36909668840735</v>
      </c>
    </row>
    <row r="30" spans="1:88" ht="27" thickBot="1">
      <c r="A30" s="257" t="s">
        <v>222</v>
      </c>
      <c r="B30" s="25"/>
      <c r="C30" s="25"/>
      <c r="D30" s="36"/>
      <c r="E30" s="243"/>
      <c r="F30" s="170"/>
      <c r="G30" s="166"/>
      <c r="W30" s="167"/>
      <c r="X30" s="171"/>
      <c r="Y30" s="168"/>
      <c r="AK30" s="257" t="s">
        <v>210</v>
      </c>
      <c r="AL30" s="258"/>
      <c r="AM30" s="258"/>
      <c r="AN30" s="258"/>
      <c r="AO30" s="259"/>
      <c r="AY30" s="332" t="s">
        <v>137</v>
      </c>
      <c r="AZ30" s="333" t="s">
        <v>349</v>
      </c>
      <c r="BA30" s="333" t="s">
        <v>347</v>
      </c>
      <c r="BB30" s="333" t="s">
        <v>344</v>
      </c>
      <c r="BC30" s="333" t="s">
        <v>348</v>
      </c>
      <c r="BD30" s="333" t="s">
        <v>346</v>
      </c>
      <c r="BE30" s="333" t="s">
        <v>345</v>
      </c>
      <c r="BF30" s="333" t="s">
        <v>138</v>
      </c>
      <c r="BG30" s="333" t="s">
        <v>350</v>
      </c>
      <c r="BH30" s="333" t="s">
        <v>355</v>
      </c>
      <c r="BI30" s="334" t="s">
        <v>356</v>
      </c>
      <c r="BV30" s="138">
        <f t="shared" ref="BV30:CB30" si="87">BB14</f>
        <v>200</v>
      </c>
      <c r="BW30" s="114">
        <f t="shared" si="87"/>
        <v>138.42284946466447</v>
      </c>
      <c r="BX30" s="114">
        <f t="shared" si="87"/>
        <v>207.65026523085268</v>
      </c>
      <c r="BY30" s="114">
        <f t="shared" si="87"/>
        <v>336.23307709080535</v>
      </c>
      <c r="BZ30" s="114">
        <f t="shared" si="87"/>
        <v>427.5721305097415</v>
      </c>
      <c r="CA30" s="310">
        <f t="shared" si="87"/>
        <v>756.35897841489475</v>
      </c>
      <c r="CB30" s="244">
        <f t="shared" si="87"/>
        <v>926.60501209566155</v>
      </c>
      <c r="CC30" s="244">
        <f t="shared" si="81"/>
        <v>465.47371880110336</v>
      </c>
      <c r="CD30" s="244">
        <f t="shared" si="82"/>
        <v>47.790298427431082</v>
      </c>
      <c r="CE30" s="244">
        <f t="shared" si="83"/>
        <v>15.087848875546158</v>
      </c>
      <c r="CF30" s="316">
        <f t="shared" si="84"/>
        <v>19.689090925840674</v>
      </c>
      <c r="CG30" s="316">
        <f t="shared" si="79"/>
        <v>39.140356742819904</v>
      </c>
      <c r="CH30" s="316">
        <f t="shared" si="79"/>
        <v>40.124849250023317</v>
      </c>
      <c r="CI30" s="316">
        <f t="shared" si="79"/>
        <v>75.945965601296166</v>
      </c>
      <c r="CJ30" s="244">
        <f>CB30-CB29</f>
        <v>96.753679169060433</v>
      </c>
    </row>
    <row r="31" spans="1:88" s="1" customFormat="1" ht="134" thickBot="1">
      <c r="A31" s="132" t="s">
        <v>1</v>
      </c>
      <c r="B31" s="133" t="s">
        <v>4</v>
      </c>
      <c r="C31" s="133" t="s">
        <v>10</v>
      </c>
      <c r="D31" s="133" t="s">
        <v>172</v>
      </c>
      <c r="E31" s="133" t="s">
        <v>173</v>
      </c>
      <c r="F31" s="134" t="s">
        <v>163</v>
      </c>
      <c r="G31" s="133" t="s">
        <v>174</v>
      </c>
      <c r="H31" s="133" t="s">
        <v>7</v>
      </c>
      <c r="I31" s="133" t="s">
        <v>5</v>
      </c>
      <c r="J31" s="133" t="s">
        <v>175</v>
      </c>
      <c r="K31" s="134" t="s">
        <v>8</v>
      </c>
      <c r="L31" s="135" t="s">
        <v>166</v>
      </c>
      <c r="M31" s="136" t="s">
        <v>6</v>
      </c>
      <c r="N31" s="133" t="s">
        <v>176</v>
      </c>
      <c r="O31" s="133" t="s">
        <v>177</v>
      </c>
      <c r="P31" s="133" t="s">
        <v>167</v>
      </c>
      <c r="Q31" s="133" t="s">
        <v>168</v>
      </c>
      <c r="R31" s="133" t="s">
        <v>9</v>
      </c>
      <c r="S31" s="133" t="s">
        <v>178</v>
      </c>
      <c r="T31" s="133" t="s">
        <v>179</v>
      </c>
      <c r="U31" s="136" t="s">
        <v>170</v>
      </c>
      <c r="V31" s="156" t="s">
        <v>171</v>
      </c>
      <c r="W31" s="247" t="s">
        <v>181</v>
      </c>
      <c r="X31" s="151" t="s">
        <v>180</v>
      </c>
      <c r="Y31" s="152" t="s">
        <v>182</v>
      </c>
      <c r="AK31" s="155" t="s">
        <v>183</v>
      </c>
      <c r="AL31" s="133" t="s">
        <v>185</v>
      </c>
      <c r="AM31" s="133" t="s">
        <v>184</v>
      </c>
      <c r="AN31" s="133" t="s">
        <v>265</v>
      </c>
      <c r="AO31" s="133" t="s">
        <v>266</v>
      </c>
      <c r="AP31" s="133" t="s">
        <v>267</v>
      </c>
      <c r="AQ31" s="133" t="s">
        <v>268</v>
      </c>
      <c r="AR31" s="133" t="s">
        <v>269</v>
      </c>
      <c r="AS31" s="133" t="s">
        <v>259</v>
      </c>
      <c r="AT31" s="133" t="s">
        <v>270</v>
      </c>
      <c r="AU31" s="133" t="s">
        <v>271</v>
      </c>
      <c r="AV31" s="133" t="s">
        <v>272</v>
      </c>
      <c r="AW31" s="156" t="s">
        <v>273</v>
      </c>
      <c r="AY31" s="338">
        <v>1</v>
      </c>
      <c r="AZ31" s="430">
        <v>120</v>
      </c>
      <c r="BA31" s="431">
        <f t="shared" ref="BA31:BA50" si="88">VLOOKUP($AZ$31,$AY$18:$BC$28,4)</f>
        <v>103.74671797543498</v>
      </c>
      <c r="BB31" s="432">
        <v>49</v>
      </c>
      <c r="BC31" s="431">
        <f>AZ31/BB31</f>
        <v>2.4489795918367347</v>
      </c>
      <c r="BD31" s="432">
        <v>0.9</v>
      </c>
      <c r="BE31" s="431">
        <f t="shared" ref="BE31:BE50" si="89">VLOOKUP($BB$31,$AY$18:$BC$28,4)</f>
        <v>23.865320930539234</v>
      </c>
      <c r="BF31" s="431">
        <f>BE31*(BD31*(1-BD31^BC31)/(1-BD31))</f>
        <v>48.84806334430295</v>
      </c>
      <c r="BG31" s="431">
        <f>BA31/BF31</f>
        <v>2.12386553063899</v>
      </c>
      <c r="BH31" s="433">
        <f>(VLOOKUP($AZ$31+20,$AY$18:$BC$28,4)-$BA$31)/20*AY31+BA31</f>
        <v>104.22981692469011</v>
      </c>
      <c r="BI31" s="434">
        <f>($BC$19/20)*AY31+BF31</f>
        <v>48.93567748385621</v>
      </c>
      <c r="BJ31" s="429" t="s">
        <v>322</v>
      </c>
      <c r="BK31" s="388">
        <v>0.15</v>
      </c>
      <c r="BL31" s="397"/>
      <c r="BM31" s="398"/>
      <c r="BN31" s="407" t="s">
        <v>330</v>
      </c>
      <c r="BO31" s="407" t="s">
        <v>330</v>
      </c>
    </row>
    <row r="32" spans="1:88" ht="22" thickBot="1">
      <c r="A32" s="137" t="s">
        <v>3</v>
      </c>
      <c r="B32" s="114">
        <v>0</v>
      </c>
      <c r="C32" s="219">
        <v>0</v>
      </c>
      <c r="D32" s="114">
        <v>0</v>
      </c>
      <c r="E32" s="114">
        <v>0</v>
      </c>
      <c r="F32" s="115">
        <f>E32*2</f>
        <v>0</v>
      </c>
      <c r="G32" s="114">
        <v>0</v>
      </c>
      <c r="H32" s="116">
        <v>0</v>
      </c>
      <c r="I32" s="114">
        <v>0</v>
      </c>
      <c r="J32" s="219">
        <v>0</v>
      </c>
      <c r="K32" s="115">
        <v>0</v>
      </c>
      <c r="L32" s="353">
        <v>0</v>
      </c>
      <c r="M32" s="120">
        <v>0</v>
      </c>
      <c r="N32" s="114">
        <v>0</v>
      </c>
      <c r="O32" s="114">
        <f>N32/$M$56</f>
        <v>0</v>
      </c>
      <c r="P32" s="114">
        <f>M32/$M$56</f>
        <v>0</v>
      </c>
      <c r="Q32" s="114">
        <v>0</v>
      </c>
      <c r="R32" s="114">
        <v>0</v>
      </c>
      <c r="S32" s="114">
        <v>0</v>
      </c>
      <c r="T32" s="114">
        <v>0</v>
      </c>
      <c r="U32" s="355">
        <v>0</v>
      </c>
      <c r="V32" s="244">
        <v>0</v>
      </c>
      <c r="W32" s="318"/>
      <c r="X32" s="240"/>
      <c r="Y32" s="241"/>
      <c r="AK32" s="161">
        <v>1</v>
      </c>
      <c r="AL32" s="186" t="s">
        <v>164</v>
      </c>
      <c r="AM32" s="149">
        <f>Y7</f>
        <v>216.64966628384252</v>
      </c>
      <c r="AN32" s="149">
        <f>M7</f>
        <v>31.181092485042093</v>
      </c>
      <c r="AO32" s="149">
        <f>AM32*AN32</f>
        <v>6755.3732812499993</v>
      </c>
      <c r="AP32" s="149">
        <f>W7</f>
        <v>8</v>
      </c>
      <c r="AQ32" s="149">
        <f>AP32^2*PI()</f>
        <v>201.06192982974676</v>
      </c>
      <c r="AR32" s="149">
        <f t="shared" ref="AR32:AR37" si="90">AM32*AQ32</f>
        <v>43560</v>
      </c>
      <c r="AS32" s="321"/>
      <c r="AT32" s="222">
        <f>AT38-SUM(AT33:AT37)</f>
        <v>60.8</v>
      </c>
      <c r="AU32" s="149">
        <f t="shared" ref="AU32:AU36" si="91">AT32*AN32</f>
        <v>1895.8104230905592</v>
      </c>
      <c r="AV32" s="149">
        <f>AT32*AQ32</f>
        <v>12224.565333648603</v>
      </c>
      <c r="AW32" s="172">
        <f>AV32</f>
        <v>12224.565333648603</v>
      </c>
      <c r="AY32" s="138">
        <f>AY31+1</f>
        <v>2</v>
      </c>
      <c r="AZ32" s="114">
        <f t="shared" ref="AZ32:AZ50" si="92">$AZ$31</f>
        <v>120</v>
      </c>
      <c r="BA32" s="118">
        <f t="shared" si="88"/>
        <v>103.74671797543498</v>
      </c>
      <c r="BB32" s="114">
        <f t="shared" ref="BB32:BB50" si="93">$BB$31</f>
        <v>49</v>
      </c>
      <c r="BC32" s="118">
        <f t="shared" ref="BC32:BC50" si="94">$BC$31</f>
        <v>2.4489795918367347</v>
      </c>
      <c r="BD32" s="114">
        <f t="shared" ref="BD32:BD50" si="95">$BD$31</f>
        <v>0.9</v>
      </c>
      <c r="BE32" s="118">
        <f t="shared" si="89"/>
        <v>23.865320930539234</v>
      </c>
      <c r="BF32" s="118">
        <f t="shared" ref="BF32:BF37" si="96">BE32*(BD32*(1-BD32^BC32)/(1-BD32))</f>
        <v>48.84806334430295</v>
      </c>
      <c r="BG32" s="118">
        <f t="shared" ref="BG32:BG37" si="97">BA32/BF32</f>
        <v>2.12386553063899</v>
      </c>
      <c r="BH32" s="118">
        <f t="shared" ref="BH32:BH37" si="98">(VLOOKUP($AZ$31+20,$AY$18:$BC$28,4)-$BA$31)/20*AY32+BA32</f>
        <v>104.71291587394525</v>
      </c>
      <c r="BI32" s="435">
        <f t="shared" ref="BI32:BI50" si="99">($BC$19/20)*AY32+BF32</f>
        <v>49.02329162340947</v>
      </c>
      <c r="BJ32" s="385" t="s">
        <v>329</v>
      </c>
      <c r="BK32" s="385"/>
      <c r="BL32" s="385"/>
      <c r="BM32" s="386"/>
      <c r="BN32" s="389">
        <f>BM24</f>
        <v>103.74671797543498</v>
      </c>
      <c r="BO32" s="389">
        <f>BN32</f>
        <v>103.74671797543498</v>
      </c>
    </row>
    <row r="33" spans="1:73" ht="25" thickBot="1">
      <c r="A33" s="138" t="s">
        <v>2</v>
      </c>
      <c r="B33" s="114">
        <v>20</v>
      </c>
      <c r="C33" s="219">
        <v>0.12</v>
      </c>
      <c r="D33" s="117">
        <f t="shared" ref="D33:D42" si="100">E33/B33</f>
        <v>0.12</v>
      </c>
      <c r="E33" s="114">
        <f>B33*C33</f>
        <v>2.4</v>
      </c>
      <c r="F33" s="115">
        <f t="shared" ref="F33:F42" si="101">E33*2</f>
        <v>4.8</v>
      </c>
      <c r="G33" s="118">
        <f t="shared" ref="G33:G42" si="102">E33/12</f>
        <v>0.19999999999999998</v>
      </c>
      <c r="H33" s="119">
        <f>PI()*2*G33</f>
        <v>1.2566370614359172</v>
      </c>
      <c r="I33" s="118">
        <f t="shared" ref="I33:I42" si="103">PI()*G33^2</f>
        <v>0.12566370614359171</v>
      </c>
      <c r="J33" s="219">
        <v>1.1000000000000001</v>
      </c>
      <c r="K33" s="115">
        <f>B33*J33</f>
        <v>22</v>
      </c>
      <c r="L33" s="353">
        <f>$V$1</f>
        <v>0.435</v>
      </c>
      <c r="M33" s="121">
        <f>I33*K33*L33</f>
        <v>1.2026016677941727</v>
      </c>
      <c r="N33" s="118">
        <f>M33-M32</f>
        <v>1.2026016677941727</v>
      </c>
      <c r="O33" s="122">
        <f t="shared" ref="O33:O42" si="104">N33/$M$84</f>
        <v>1.297857935253665E-3</v>
      </c>
      <c r="P33" s="122">
        <f t="shared" ref="P33:P42" si="105">M33/$M$84</f>
        <v>1.297857935253665E-3</v>
      </c>
      <c r="Q33" s="122">
        <f t="shared" ref="Q33:Q42" si="106">B33/$B$84</f>
        <v>0.1</v>
      </c>
      <c r="R33" s="118">
        <f>N33/(B33-B32)</f>
        <v>6.0130083389708634E-2</v>
      </c>
      <c r="S33" s="123">
        <f>E33/B33</f>
        <v>0.12</v>
      </c>
      <c r="T33" s="117">
        <f t="shared" ref="T33:T42" si="107">1/C33</f>
        <v>8.3333333333333339</v>
      </c>
      <c r="U33" s="356"/>
      <c r="V33" s="245">
        <f>(M33-U33)/M33</f>
        <v>1</v>
      </c>
      <c r="W33" s="318">
        <v>8</v>
      </c>
      <c r="X33" s="118">
        <f t="shared" ref="X33:X42" si="108">PI()*W33^2</f>
        <v>201.06192982974676</v>
      </c>
      <c r="Y33" s="157">
        <f t="shared" ref="Y33:Y42" si="109">43560/X33</f>
        <v>216.64966628384252</v>
      </c>
      <c r="AK33" s="161">
        <v>2</v>
      </c>
      <c r="AL33" s="54" t="s">
        <v>164</v>
      </c>
      <c r="AM33" s="149">
        <f>Y21</f>
        <v>153.63522041181079</v>
      </c>
      <c r="AN33" s="149">
        <f>M21</f>
        <v>45.565240968645888</v>
      </c>
      <c r="AO33" s="149">
        <f>AM33*AN33</f>
        <v>7000.425839335182</v>
      </c>
      <c r="AP33" s="149">
        <f>W21</f>
        <v>9.5</v>
      </c>
      <c r="AQ33" s="149">
        <f t="shared" ref="AQ33:AQ36" si="110">AP33^2*PI()</f>
        <v>283.5287369864788</v>
      </c>
      <c r="AR33" s="149">
        <f t="shared" si="90"/>
        <v>43560</v>
      </c>
      <c r="AS33" s="321">
        <v>0.22500000000000001</v>
      </c>
      <c r="AT33" s="222">
        <f>AS33*$AT$38</f>
        <v>36</v>
      </c>
      <c r="AU33" s="149">
        <f t="shared" si="91"/>
        <v>1640.3486748712519</v>
      </c>
      <c r="AV33" s="149">
        <f t="shared" ref="AV33:AV36" si="111">AT33*AQ33</f>
        <v>10207.034531513236</v>
      </c>
      <c r="AW33" s="172">
        <f>AV33+AW32</f>
        <v>22431.599865161839</v>
      </c>
      <c r="AY33" s="138">
        <f t="shared" ref="AY33:AY50" si="112">AY32+1</f>
        <v>3</v>
      </c>
      <c r="AZ33" s="114">
        <f t="shared" si="92"/>
        <v>120</v>
      </c>
      <c r="BA33" s="118">
        <f t="shared" si="88"/>
        <v>103.74671797543498</v>
      </c>
      <c r="BB33" s="114">
        <f t="shared" si="93"/>
        <v>49</v>
      </c>
      <c r="BC33" s="118">
        <f t="shared" si="94"/>
        <v>2.4489795918367347</v>
      </c>
      <c r="BD33" s="114">
        <f t="shared" si="95"/>
        <v>0.9</v>
      </c>
      <c r="BE33" s="118">
        <f t="shared" si="89"/>
        <v>23.865320930539234</v>
      </c>
      <c r="BF33" s="118">
        <f t="shared" si="96"/>
        <v>48.84806334430295</v>
      </c>
      <c r="BG33" s="118">
        <f t="shared" si="97"/>
        <v>2.12386553063899</v>
      </c>
      <c r="BH33" s="118">
        <f t="shared" si="98"/>
        <v>105.19601482320039</v>
      </c>
      <c r="BI33" s="435">
        <f t="shared" si="99"/>
        <v>49.11090576296273</v>
      </c>
      <c r="BJ33" s="385" t="s">
        <v>319</v>
      </c>
      <c r="BK33" s="385"/>
      <c r="BL33" s="385"/>
      <c r="BM33" s="386"/>
      <c r="BN33" s="389">
        <f>BM22</f>
        <v>76.486761949652688</v>
      </c>
      <c r="BO33" s="399"/>
    </row>
    <row r="34" spans="1:73" ht="25" thickBot="1">
      <c r="A34" s="138" t="s">
        <v>11</v>
      </c>
      <c r="B34" s="114">
        <v>40</v>
      </c>
      <c r="C34" s="219">
        <v>0.2</v>
      </c>
      <c r="D34" s="117">
        <f t="shared" si="100"/>
        <v>0.16</v>
      </c>
      <c r="E34" s="114">
        <f>(B34-B33)*C34+E33</f>
        <v>6.4</v>
      </c>
      <c r="F34" s="115">
        <f t="shared" si="101"/>
        <v>12.8</v>
      </c>
      <c r="G34" s="118">
        <f t="shared" si="102"/>
        <v>0.53333333333333333</v>
      </c>
      <c r="H34" s="119">
        <f t="shared" ref="H34:H42" si="113">PI()*2*G34</f>
        <v>3.3510321638291125</v>
      </c>
      <c r="I34" s="118">
        <f t="shared" si="103"/>
        <v>0.89360857702109675</v>
      </c>
      <c r="J34" s="219">
        <v>2.2000000000000002</v>
      </c>
      <c r="K34" s="115">
        <f>(B34-B33)*J34+K33</f>
        <v>66</v>
      </c>
      <c r="L34" s="353">
        <f t="shared" ref="L34:L42" si="114">$V$1</f>
        <v>0.435</v>
      </c>
      <c r="M34" s="121">
        <f>I34*K34*L34</f>
        <v>25.655502246275688</v>
      </c>
      <c r="N34" s="118">
        <f t="shared" ref="N34:N42" si="115">M34-M33</f>
        <v>24.452900578481515</v>
      </c>
      <c r="O34" s="122">
        <f t="shared" si="104"/>
        <v>2.6389778016824527E-2</v>
      </c>
      <c r="P34" s="122">
        <f t="shared" si="105"/>
        <v>2.7687635952078193E-2</v>
      </c>
      <c r="Q34" s="122">
        <f t="shared" si="106"/>
        <v>0.2</v>
      </c>
      <c r="R34" s="118">
        <f>N34/(B34-B33)</f>
        <v>1.2226450289240758</v>
      </c>
      <c r="S34" s="123">
        <f>E34/B34</f>
        <v>0.16</v>
      </c>
      <c r="T34" s="117">
        <f t="shared" si="107"/>
        <v>5</v>
      </c>
      <c r="U34" s="356"/>
      <c r="V34" s="245">
        <f>(M34-U34)/M34</f>
        <v>1</v>
      </c>
      <c r="W34" s="318">
        <v>9</v>
      </c>
      <c r="X34" s="118">
        <f t="shared" si="108"/>
        <v>254.46900494077323</v>
      </c>
      <c r="Y34" s="157">
        <f t="shared" si="109"/>
        <v>171.17998323661632</v>
      </c>
      <c r="AK34" s="161">
        <v>3</v>
      </c>
      <c r="AL34" s="54" t="s">
        <v>164</v>
      </c>
      <c r="AM34" s="149">
        <f>Y35</f>
        <v>138.65578642165923</v>
      </c>
      <c r="AN34" s="149">
        <f>M35</f>
        <v>63.203398762960425</v>
      </c>
      <c r="AO34" s="149">
        <f t="shared" ref="AO34:AO36" si="116">AM34*AN34</f>
        <v>8763.5169600000027</v>
      </c>
      <c r="AP34" s="149">
        <f>W35</f>
        <v>10</v>
      </c>
      <c r="AQ34" s="149">
        <f t="shared" si="110"/>
        <v>314.15926535897933</v>
      </c>
      <c r="AR34" s="149">
        <f t="shared" si="90"/>
        <v>43560.000000000007</v>
      </c>
      <c r="AS34" s="321">
        <v>0.25</v>
      </c>
      <c r="AT34" s="222">
        <f t="shared" ref="AT34:AT35" si="117">AS34*$AT$38</f>
        <v>40</v>
      </c>
      <c r="AU34" s="149">
        <f t="shared" si="91"/>
        <v>2528.1359505184168</v>
      </c>
      <c r="AV34" s="149">
        <f t="shared" si="111"/>
        <v>12566.370614359173</v>
      </c>
      <c r="AW34" s="172">
        <f t="shared" ref="AW34:AW37" si="118">AV34+AW33</f>
        <v>34997.970479521013</v>
      </c>
      <c r="AY34" s="138">
        <f t="shared" si="112"/>
        <v>4</v>
      </c>
      <c r="AZ34" s="114">
        <f t="shared" si="92"/>
        <v>120</v>
      </c>
      <c r="BA34" s="118">
        <f t="shared" si="88"/>
        <v>103.74671797543498</v>
      </c>
      <c r="BB34" s="114">
        <f t="shared" si="93"/>
        <v>49</v>
      </c>
      <c r="BC34" s="118">
        <f t="shared" si="94"/>
        <v>2.4489795918367347</v>
      </c>
      <c r="BD34" s="114">
        <f t="shared" si="95"/>
        <v>0.9</v>
      </c>
      <c r="BE34" s="118">
        <f t="shared" si="89"/>
        <v>23.865320930539234</v>
      </c>
      <c r="BF34" s="118">
        <f t="shared" si="96"/>
        <v>48.84806334430295</v>
      </c>
      <c r="BG34" s="118">
        <f t="shared" si="97"/>
        <v>2.12386553063899</v>
      </c>
      <c r="BH34" s="118">
        <f t="shared" si="98"/>
        <v>105.67911377245552</v>
      </c>
      <c r="BI34" s="435">
        <f t="shared" si="99"/>
        <v>49.19851990251599</v>
      </c>
      <c r="BJ34" s="385" t="s">
        <v>323</v>
      </c>
      <c r="BK34" s="385"/>
      <c r="BL34" s="385"/>
      <c r="BM34" s="386"/>
      <c r="BN34" s="389">
        <f>BM20</f>
        <v>23.865320930539234</v>
      </c>
      <c r="BO34" s="389">
        <f>BN34+BN33</f>
        <v>100.35208288019192</v>
      </c>
    </row>
    <row r="35" spans="1:73" ht="25" thickBot="1">
      <c r="A35" s="138" t="s">
        <v>164</v>
      </c>
      <c r="B35" s="114">
        <v>60</v>
      </c>
      <c r="C35" s="219">
        <v>0.12</v>
      </c>
      <c r="D35" s="117">
        <f t="shared" si="100"/>
        <v>0.14666666666666667</v>
      </c>
      <c r="E35" s="114">
        <f>(B35-B34)*C35+E34</f>
        <v>8.8000000000000007</v>
      </c>
      <c r="F35" s="115">
        <f t="shared" si="101"/>
        <v>17.600000000000001</v>
      </c>
      <c r="G35" s="118">
        <f t="shared" si="102"/>
        <v>0.73333333333333339</v>
      </c>
      <c r="H35" s="119">
        <f t="shared" si="113"/>
        <v>4.6076692252650302</v>
      </c>
      <c r="I35" s="118">
        <f t="shared" si="103"/>
        <v>1.6894787159305114</v>
      </c>
      <c r="J35" s="219">
        <v>1</v>
      </c>
      <c r="K35" s="115">
        <f>(B35-B34)*J35+K34</f>
        <v>86</v>
      </c>
      <c r="L35" s="353">
        <f t="shared" si="114"/>
        <v>0.435</v>
      </c>
      <c r="M35" s="121">
        <f>I35*K35*L35</f>
        <v>63.203398762960425</v>
      </c>
      <c r="N35" s="118">
        <f t="shared" si="115"/>
        <v>37.547896516684737</v>
      </c>
      <c r="O35" s="122">
        <f t="shared" si="104"/>
        <v>4.0522008867364449E-2</v>
      </c>
      <c r="P35" s="122">
        <f t="shared" si="105"/>
        <v>6.8209644819442639E-2</v>
      </c>
      <c r="Q35" s="122">
        <f t="shared" si="106"/>
        <v>0.3</v>
      </c>
      <c r="R35" s="118">
        <f>N35/(B35-B34)</f>
        <v>1.8773948258342368</v>
      </c>
      <c r="S35" s="123">
        <f>E35/B35</f>
        <v>0.14666666666666667</v>
      </c>
      <c r="T35" s="117">
        <f t="shared" si="107"/>
        <v>8.3333333333333339</v>
      </c>
      <c r="U35" s="356"/>
      <c r="V35" s="245">
        <f>(M35-U35)/M35</f>
        <v>1</v>
      </c>
      <c r="W35" s="318">
        <v>10</v>
      </c>
      <c r="X35" s="118">
        <f t="shared" si="108"/>
        <v>314.15926535897933</v>
      </c>
      <c r="Y35" s="157">
        <f t="shared" si="109"/>
        <v>138.65578642165923</v>
      </c>
      <c r="AK35" s="161">
        <v>4</v>
      </c>
      <c r="AL35" s="54" t="s">
        <v>164</v>
      </c>
      <c r="AM35" s="149">
        <f>Y49</f>
        <v>125.76488564322833</v>
      </c>
      <c r="AN35" s="149">
        <f>M49</f>
        <v>100.7315556058051</v>
      </c>
      <c r="AO35" s="149">
        <f t="shared" si="116"/>
        <v>12668.492571428573</v>
      </c>
      <c r="AP35" s="149">
        <f>W49</f>
        <v>10.5</v>
      </c>
      <c r="AQ35" s="149">
        <f t="shared" si="110"/>
        <v>346.36059005827468</v>
      </c>
      <c r="AR35" s="149">
        <f t="shared" si="90"/>
        <v>43560</v>
      </c>
      <c r="AS35" s="321">
        <v>0.12</v>
      </c>
      <c r="AT35" s="222">
        <f t="shared" si="117"/>
        <v>19.2</v>
      </c>
      <c r="AU35" s="149">
        <f t="shared" si="91"/>
        <v>1934.0458676314579</v>
      </c>
      <c r="AV35" s="149">
        <f t="shared" si="111"/>
        <v>6650.1233291188737</v>
      </c>
      <c r="AW35" s="172">
        <f t="shared" si="118"/>
        <v>41648.093808639889</v>
      </c>
      <c r="AY35" s="138">
        <f t="shared" si="112"/>
        <v>5</v>
      </c>
      <c r="AZ35" s="114">
        <f t="shared" si="92"/>
        <v>120</v>
      </c>
      <c r="BA35" s="118">
        <f t="shared" si="88"/>
        <v>103.74671797543498</v>
      </c>
      <c r="BB35" s="114">
        <f t="shared" si="93"/>
        <v>49</v>
      </c>
      <c r="BC35" s="118">
        <f t="shared" si="94"/>
        <v>2.4489795918367347</v>
      </c>
      <c r="BD35" s="114">
        <f t="shared" si="95"/>
        <v>0.9</v>
      </c>
      <c r="BE35" s="118">
        <f t="shared" si="89"/>
        <v>23.865320930539234</v>
      </c>
      <c r="BF35" s="118">
        <f t="shared" si="96"/>
        <v>48.84806334430295</v>
      </c>
      <c r="BG35" s="118">
        <f t="shared" si="97"/>
        <v>2.12386553063899</v>
      </c>
      <c r="BH35" s="118">
        <f t="shared" si="98"/>
        <v>106.16221272171066</v>
      </c>
      <c r="BI35" s="435">
        <f t="shared" si="99"/>
        <v>49.28613404206925</v>
      </c>
      <c r="BJ35" s="385" t="s">
        <v>321</v>
      </c>
      <c r="BK35" s="385"/>
      <c r="BL35" s="385"/>
      <c r="BM35" s="386"/>
      <c r="BN35" s="389">
        <f>-BK31*BN33</f>
        <v>-11.473014292447903</v>
      </c>
      <c r="BO35" s="392">
        <f>BN33+BN34+BN35</f>
        <v>88.879068587744015</v>
      </c>
      <c r="BP35" s="384" t="s">
        <v>324</v>
      </c>
      <c r="BQ35" s="385"/>
      <c r="BR35" s="385"/>
      <c r="BS35" s="385"/>
      <c r="BT35" s="391"/>
      <c r="BU35" s="374"/>
    </row>
    <row r="36" spans="1:73" ht="25" thickBot="1">
      <c r="A36" s="138" t="s">
        <v>165</v>
      </c>
      <c r="B36" s="114">
        <v>80</v>
      </c>
      <c r="C36" s="219">
        <v>0.1</v>
      </c>
      <c r="D36" s="117">
        <f t="shared" si="100"/>
        <v>0.13500000000000001</v>
      </c>
      <c r="E36" s="114">
        <f t="shared" ref="E36:E42" si="119">(B36-B35)*C36+E35</f>
        <v>10.8</v>
      </c>
      <c r="F36" s="115">
        <f t="shared" si="101"/>
        <v>21.6</v>
      </c>
      <c r="G36" s="118">
        <f t="shared" si="102"/>
        <v>0.9</v>
      </c>
      <c r="H36" s="119">
        <f t="shared" si="113"/>
        <v>5.6548667764616276</v>
      </c>
      <c r="I36" s="118">
        <f t="shared" si="103"/>
        <v>2.5446900494077327</v>
      </c>
      <c r="J36" s="219">
        <v>0.8</v>
      </c>
      <c r="K36" s="115">
        <f t="shared" ref="K36:K42" si="120">(B36-B35)*J36+K35</f>
        <v>102</v>
      </c>
      <c r="L36" s="353">
        <f t="shared" si="114"/>
        <v>0.435</v>
      </c>
      <c r="M36" s="121">
        <f t="shared" ref="M36:M42" si="121">I36*K36*L36</f>
        <v>112.90789749222111</v>
      </c>
      <c r="N36" s="118">
        <f t="shared" si="115"/>
        <v>49.704498729260685</v>
      </c>
      <c r="O36" s="122">
        <f t="shared" si="104"/>
        <v>5.364151723812309E-2</v>
      </c>
      <c r="P36" s="122">
        <f t="shared" si="105"/>
        <v>0.12185116205756573</v>
      </c>
      <c r="Q36" s="122">
        <f t="shared" si="106"/>
        <v>0.4</v>
      </c>
      <c r="R36" s="118">
        <f t="shared" ref="R36:R42" si="122">N36/(B36-B35)</f>
        <v>2.4852249364630343</v>
      </c>
      <c r="S36" s="123">
        <f t="shared" ref="S36:S42" si="123">E36/B36</f>
        <v>0.13500000000000001</v>
      </c>
      <c r="T36" s="117">
        <f t="shared" si="107"/>
        <v>10</v>
      </c>
      <c r="U36" s="356"/>
      <c r="V36" s="245">
        <f t="shared" ref="V36:V42" si="124">(M36-U36)/M36</f>
        <v>1</v>
      </c>
      <c r="W36" s="318">
        <v>11</v>
      </c>
      <c r="X36" s="118">
        <f t="shared" si="108"/>
        <v>380.13271108436498</v>
      </c>
      <c r="Y36" s="157">
        <f t="shared" si="109"/>
        <v>114.59155902616465</v>
      </c>
      <c r="AK36" s="161">
        <v>5</v>
      </c>
      <c r="AL36" s="54" t="s">
        <v>164</v>
      </c>
      <c r="AM36" s="149">
        <f>Y63</f>
        <v>96.288740570596687</v>
      </c>
      <c r="AN36" s="149">
        <f>M63</f>
        <v>161.48875324904785</v>
      </c>
      <c r="AO36" s="149">
        <f t="shared" si="116"/>
        <v>15549.548666666671</v>
      </c>
      <c r="AP36" s="149">
        <f>W63</f>
        <v>12</v>
      </c>
      <c r="AQ36" s="149">
        <f t="shared" si="110"/>
        <v>452.38934211693021</v>
      </c>
      <c r="AR36" s="149">
        <f t="shared" si="90"/>
        <v>43560</v>
      </c>
      <c r="AS36" s="321"/>
      <c r="AT36" s="222">
        <v>3</v>
      </c>
      <c r="AU36" s="149">
        <f t="shared" si="91"/>
        <v>484.46625974714357</v>
      </c>
      <c r="AV36" s="149">
        <f t="shared" si="111"/>
        <v>1357.1680263507906</v>
      </c>
      <c r="AW36" s="172">
        <f t="shared" si="118"/>
        <v>43005.261834990677</v>
      </c>
      <c r="AY36" s="138">
        <f t="shared" si="112"/>
        <v>6</v>
      </c>
      <c r="AZ36" s="114">
        <f t="shared" si="92"/>
        <v>120</v>
      </c>
      <c r="BA36" s="118">
        <f t="shared" si="88"/>
        <v>103.74671797543498</v>
      </c>
      <c r="BB36" s="114">
        <f t="shared" si="93"/>
        <v>49</v>
      </c>
      <c r="BC36" s="118">
        <f t="shared" si="94"/>
        <v>2.4489795918367347</v>
      </c>
      <c r="BD36" s="114">
        <f t="shared" si="95"/>
        <v>0.9</v>
      </c>
      <c r="BE36" s="118">
        <f t="shared" si="89"/>
        <v>23.865320930539234</v>
      </c>
      <c r="BF36" s="118">
        <f t="shared" si="96"/>
        <v>48.84806334430295</v>
      </c>
      <c r="BG36" s="118">
        <f t="shared" si="97"/>
        <v>2.12386553063899</v>
      </c>
      <c r="BH36" s="118">
        <f t="shared" si="98"/>
        <v>106.64531167096578</v>
      </c>
      <c r="BI36" s="435">
        <f t="shared" si="99"/>
        <v>49.37374818162251</v>
      </c>
      <c r="BJ36" s="393"/>
      <c r="BK36" s="393"/>
      <c r="BL36" s="393"/>
      <c r="BM36" s="394"/>
      <c r="BN36" s="389" t="s">
        <v>318</v>
      </c>
      <c r="BO36" s="389">
        <f>BO32-BO35</f>
        <v>14.86764938769096</v>
      </c>
      <c r="BP36" s="384" t="s">
        <v>325</v>
      </c>
      <c r="BQ36" s="385"/>
      <c r="BR36" s="385"/>
      <c r="BS36" s="385"/>
      <c r="BT36" s="385"/>
      <c r="BU36" s="374"/>
    </row>
    <row r="37" spans="1:73" ht="47" customHeight="1" thickBot="1">
      <c r="A37" s="138" t="s">
        <v>12</v>
      </c>
      <c r="B37" s="114">
        <v>100</v>
      </c>
      <c r="C37" s="219">
        <v>0.08</v>
      </c>
      <c r="D37" s="117">
        <f t="shared" si="100"/>
        <v>0.124</v>
      </c>
      <c r="E37" s="114">
        <f t="shared" si="119"/>
        <v>12.4</v>
      </c>
      <c r="F37" s="115">
        <f t="shared" si="101"/>
        <v>24.8</v>
      </c>
      <c r="G37" s="118">
        <f t="shared" si="102"/>
        <v>1.0333333333333334</v>
      </c>
      <c r="H37" s="119">
        <f t="shared" si="113"/>
        <v>6.4926248174189061</v>
      </c>
      <c r="I37" s="118">
        <f t="shared" si="103"/>
        <v>3.3545228223331018</v>
      </c>
      <c r="J37" s="219">
        <v>0.5</v>
      </c>
      <c r="K37" s="115">
        <f t="shared" si="120"/>
        <v>112</v>
      </c>
      <c r="L37" s="353">
        <f t="shared" si="114"/>
        <v>0.435</v>
      </c>
      <c r="M37" s="121">
        <f t="shared" si="121"/>
        <v>163.43235190406872</v>
      </c>
      <c r="N37" s="124">
        <f t="shared" si="115"/>
        <v>50.524454411847614</v>
      </c>
      <c r="O37" s="122">
        <f t="shared" si="104"/>
        <v>5.4526420375796039E-2</v>
      </c>
      <c r="P37" s="122">
        <f t="shared" si="105"/>
        <v>0.17637758243336177</v>
      </c>
      <c r="Q37" s="122">
        <f t="shared" si="106"/>
        <v>0.5</v>
      </c>
      <c r="R37" s="118">
        <f t="shared" si="122"/>
        <v>2.5262227205923806</v>
      </c>
      <c r="S37" s="123">
        <f t="shared" si="123"/>
        <v>0.124</v>
      </c>
      <c r="T37" s="117">
        <f t="shared" si="107"/>
        <v>12.5</v>
      </c>
      <c r="U37" s="356"/>
      <c r="V37" s="245">
        <f t="shared" si="124"/>
        <v>1</v>
      </c>
      <c r="W37" s="318">
        <v>12</v>
      </c>
      <c r="X37" s="118">
        <f t="shared" si="108"/>
        <v>452.38934211693021</v>
      </c>
      <c r="Y37" s="157">
        <f t="shared" si="109"/>
        <v>96.288740570596687</v>
      </c>
      <c r="AK37" s="162">
        <v>6</v>
      </c>
      <c r="AL37" s="163" t="s">
        <v>164</v>
      </c>
      <c r="AM37" s="164">
        <f>Y77</f>
        <v>82.044844036484747</v>
      </c>
      <c r="AN37" s="164">
        <f>M77</f>
        <v>161.98869844995841</v>
      </c>
      <c r="AO37" s="164">
        <f>AM37*AN37</f>
        <v>13290.337499999996</v>
      </c>
      <c r="AP37" s="164">
        <f>W77</f>
        <v>13</v>
      </c>
      <c r="AQ37" s="164">
        <f>AP37^2*PI()</f>
        <v>530.92915845667505</v>
      </c>
      <c r="AR37" s="164">
        <f t="shared" si="90"/>
        <v>43560</v>
      </c>
      <c r="AS37" s="341"/>
      <c r="AT37" s="223">
        <v>1</v>
      </c>
      <c r="AU37" s="164">
        <f>AT37*AN37</f>
        <v>161.98869844995841</v>
      </c>
      <c r="AV37" s="164">
        <f>AT37*AQ37</f>
        <v>530.92915845667505</v>
      </c>
      <c r="AW37" s="173">
        <f t="shared" si="118"/>
        <v>43536.190993447352</v>
      </c>
      <c r="AY37" s="138">
        <f t="shared" si="112"/>
        <v>7</v>
      </c>
      <c r="AZ37" s="114">
        <f t="shared" si="92"/>
        <v>120</v>
      </c>
      <c r="BA37" s="118">
        <f t="shared" si="88"/>
        <v>103.74671797543498</v>
      </c>
      <c r="BB37" s="114">
        <f t="shared" si="93"/>
        <v>49</v>
      </c>
      <c r="BC37" s="118">
        <f t="shared" si="94"/>
        <v>2.4489795918367347</v>
      </c>
      <c r="BD37" s="114">
        <f t="shared" si="95"/>
        <v>0.9</v>
      </c>
      <c r="BE37" s="118">
        <f t="shared" si="89"/>
        <v>23.865320930539234</v>
      </c>
      <c r="BF37" s="118">
        <f t="shared" si="96"/>
        <v>48.84806334430295</v>
      </c>
      <c r="BG37" s="118">
        <f t="shared" si="97"/>
        <v>2.12386553063899</v>
      </c>
      <c r="BH37" s="118">
        <f t="shared" si="98"/>
        <v>107.12841062022092</v>
      </c>
      <c r="BI37" s="435">
        <f t="shared" si="99"/>
        <v>49.46136232117577</v>
      </c>
      <c r="BJ37" s="395"/>
      <c r="BK37" s="395"/>
      <c r="BL37" s="395"/>
      <c r="BM37" s="396"/>
      <c r="BN37" s="387" t="s">
        <v>320</v>
      </c>
      <c r="BO37" s="390">
        <f>BO36/BO35</f>
        <v>0.1672795363850284</v>
      </c>
    </row>
    <row r="38" spans="1:73" ht="25" thickBot="1">
      <c r="A38" s="138" t="s">
        <v>13</v>
      </c>
      <c r="B38" s="114">
        <v>120</v>
      </c>
      <c r="C38" s="219">
        <v>0.06</v>
      </c>
      <c r="D38" s="117">
        <f t="shared" si="100"/>
        <v>0.11333333333333333</v>
      </c>
      <c r="E38" s="114">
        <f t="shared" si="119"/>
        <v>13.6</v>
      </c>
      <c r="F38" s="115">
        <f t="shared" si="101"/>
        <v>27.2</v>
      </c>
      <c r="G38" s="118">
        <f t="shared" si="102"/>
        <v>1.1333333333333333</v>
      </c>
      <c r="H38" s="119">
        <f t="shared" si="113"/>
        <v>7.1209433481368638</v>
      </c>
      <c r="I38" s="118">
        <f t="shared" si="103"/>
        <v>4.0352012306108893</v>
      </c>
      <c r="J38" s="219">
        <v>0.4</v>
      </c>
      <c r="K38" s="115">
        <f t="shared" si="120"/>
        <v>120</v>
      </c>
      <c r="L38" s="353">
        <f t="shared" si="114"/>
        <v>0.435</v>
      </c>
      <c r="M38" s="121">
        <f t="shared" si="121"/>
        <v>210.63750423788844</v>
      </c>
      <c r="N38" s="118">
        <f t="shared" si="115"/>
        <v>47.205152333819711</v>
      </c>
      <c r="O38" s="122">
        <f t="shared" si="104"/>
        <v>5.0944201377734734E-2</v>
      </c>
      <c r="P38" s="122">
        <f t="shared" si="105"/>
        <v>0.2273217838110965</v>
      </c>
      <c r="Q38" s="122">
        <f t="shared" si="106"/>
        <v>0.6</v>
      </c>
      <c r="R38" s="118">
        <f t="shared" si="122"/>
        <v>2.3602576166909857</v>
      </c>
      <c r="S38" s="123">
        <f t="shared" si="123"/>
        <v>0.11333333333333333</v>
      </c>
      <c r="T38" s="117">
        <f t="shared" si="107"/>
        <v>16.666666666666668</v>
      </c>
      <c r="U38" s="356"/>
      <c r="V38" s="245">
        <f t="shared" si="124"/>
        <v>1</v>
      </c>
      <c r="W38" s="318">
        <v>13</v>
      </c>
      <c r="X38" s="118">
        <f t="shared" si="108"/>
        <v>530.92915845667505</v>
      </c>
      <c r="Y38" s="157">
        <f t="shared" si="109"/>
        <v>82.044844036484747</v>
      </c>
      <c r="AM38" s="323">
        <f>SUM(AM32:AM37)</f>
        <v>813.03914336762227</v>
      </c>
      <c r="AR38" s="37"/>
      <c r="AS38" s="320"/>
      <c r="AT38" s="358">
        <v>160</v>
      </c>
      <c r="AU38" s="160">
        <f>SUM(AU32:AU37)</f>
        <v>8644.7958743087875</v>
      </c>
      <c r="AV38" s="160">
        <f>AU38*12.5/2000</f>
        <v>54.02997421442992</v>
      </c>
      <c r="AY38" s="138">
        <f t="shared" si="112"/>
        <v>8</v>
      </c>
      <c r="AZ38" s="114">
        <f t="shared" si="92"/>
        <v>120</v>
      </c>
      <c r="BA38" s="118">
        <f t="shared" si="88"/>
        <v>103.74671797543498</v>
      </c>
      <c r="BB38" s="114">
        <f t="shared" si="93"/>
        <v>49</v>
      </c>
      <c r="BC38" s="118">
        <f t="shared" si="94"/>
        <v>2.4489795918367347</v>
      </c>
      <c r="BD38" s="114">
        <f t="shared" si="95"/>
        <v>0.9</v>
      </c>
      <c r="BE38" s="118">
        <f t="shared" si="89"/>
        <v>23.865320930539234</v>
      </c>
      <c r="BF38" s="118">
        <f t="shared" ref="BF38:BF50" si="125">BE38*(BD38*(1-BD38^BC38)/(1-BD38))</f>
        <v>48.84806334430295</v>
      </c>
      <c r="BG38" s="118">
        <f t="shared" ref="BG38:BG50" si="126">BA38/BF38</f>
        <v>2.12386553063899</v>
      </c>
      <c r="BH38" s="118">
        <f t="shared" ref="BH38:BH50" si="127">(VLOOKUP($AZ$31+20,$AY$18:$BC$28,4)-$BA$31)/20*AY38+BA38</f>
        <v>107.61150956947606</v>
      </c>
      <c r="BI38" s="435">
        <f t="shared" si="99"/>
        <v>49.548976460729037</v>
      </c>
    </row>
    <row r="39" spans="1:73" ht="25" thickBot="1">
      <c r="A39" s="138" t="s">
        <v>14</v>
      </c>
      <c r="B39" s="114">
        <v>140</v>
      </c>
      <c r="C39" s="219">
        <v>0.05</v>
      </c>
      <c r="D39" s="117">
        <f t="shared" si="100"/>
        <v>0.10428571428571429</v>
      </c>
      <c r="E39" s="114">
        <f t="shared" si="119"/>
        <v>14.6</v>
      </c>
      <c r="F39" s="115">
        <f t="shared" si="101"/>
        <v>29.2</v>
      </c>
      <c r="G39" s="118">
        <f t="shared" si="102"/>
        <v>1.2166666666666666</v>
      </c>
      <c r="H39" s="119">
        <f t="shared" si="113"/>
        <v>7.644542123735163</v>
      </c>
      <c r="I39" s="118">
        <f t="shared" si="103"/>
        <v>4.6504297919388904</v>
      </c>
      <c r="J39" s="219">
        <v>0.3</v>
      </c>
      <c r="K39" s="115">
        <f t="shared" si="120"/>
        <v>126</v>
      </c>
      <c r="L39" s="353">
        <f t="shared" si="114"/>
        <v>0.435</v>
      </c>
      <c r="M39" s="121">
        <f t="shared" si="121"/>
        <v>254.89005689617056</v>
      </c>
      <c r="N39" s="118">
        <f t="shared" si="115"/>
        <v>44.252552658282127</v>
      </c>
      <c r="O39" s="122">
        <f t="shared" si="104"/>
        <v>4.7757730727355001E-2</v>
      </c>
      <c r="P39" s="122">
        <f t="shared" si="105"/>
        <v>0.27507951453845153</v>
      </c>
      <c r="Q39" s="122">
        <f t="shared" si="106"/>
        <v>0.7</v>
      </c>
      <c r="R39" s="118">
        <f t="shared" si="122"/>
        <v>2.2126276329141064</v>
      </c>
      <c r="S39" s="123">
        <f t="shared" si="123"/>
        <v>0.10428571428571429</v>
      </c>
      <c r="T39" s="117">
        <f t="shared" si="107"/>
        <v>20</v>
      </c>
      <c r="U39" s="356"/>
      <c r="V39" s="245">
        <f t="shared" si="124"/>
        <v>1</v>
      </c>
      <c r="W39" s="318">
        <v>14</v>
      </c>
      <c r="X39" s="118">
        <f t="shared" si="108"/>
        <v>615.75216010359941</v>
      </c>
      <c r="Y39" s="157">
        <f t="shared" si="109"/>
        <v>70.742748174315935</v>
      </c>
      <c r="AM39" s="324">
        <f>AM38/6</f>
        <v>135.5065238946037</v>
      </c>
      <c r="AR39" s="37" t="s">
        <v>258</v>
      </c>
      <c r="AS39" s="320"/>
      <c r="AT39" s="325">
        <f>SUM(AT33:AT37)+IF(AT32&gt;0,AT32,0)</f>
        <v>160</v>
      </c>
      <c r="AU39" s="326">
        <f>SUM(AU33:AU37)+IF(AT32&gt;0,AU32,0)</f>
        <v>8644.7958743087875</v>
      </c>
      <c r="AV39" s="160">
        <f>AU39*12.5/2000</f>
        <v>54.02997421442992</v>
      </c>
      <c r="AY39" s="138">
        <f t="shared" si="112"/>
        <v>9</v>
      </c>
      <c r="AZ39" s="114">
        <f t="shared" si="92"/>
        <v>120</v>
      </c>
      <c r="BA39" s="118">
        <f t="shared" si="88"/>
        <v>103.74671797543498</v>
      </c>
      <c r="BB39" s="114">
        <f t="shared" si="93"/>
        <v>49</v>
      </c>
      <c r="BC39" s="118">
        <f t="shared" si="94"/>
        <v>2.4489795918367347</v>
      </c>
      <c r="BD39" s="114">
        <f t="shared" si="95"/>
        <v>0.9</v>
      </c>
      <c r="BE39" s="118">
        <f t="shared" si="89"/>
        <v>23.865320930539234</v>
      </c>
      <c r="BF39" s="118">
        <f t="shared" si="125"/>
        <v>48.84806334430295</v>
      </c>
      <c r="BG39" s="118">
        <f t="shared" si="126"/>
        <v>2.12386553063899</v>
      </c>
      <c r="BH39" s="118">
        <f t="shared" si="127"/>
        <v>108.09460851873119</v>
      </c>
      <c r="BI39" s="435">
        <f t="shared" si="99"/>
        <v>49.636590600282297</v>
      </c>
    </row>
    <row r="40" spans="1:73" ht="25" thickBot="1">
      <c r="A40" s="138" t="s">
        <v>15</v>
      </c>
      <c r="B40" s="114">
        <v>160</v>
      </c>
      <c r="C40" s="219">
        <v>0.04</v>
      </c>
      <c r="D40" s="117">
        <f t="shared" si="100"/>
        <v>9.6250000000000002E-2</v>
      </c>
      <c r="E40" s="114">
        <f t="shared" si="119"/>
        <v>15.4</v>
      </c>
      <c r="F40" s="115">
        <f t="shared" si="101"/>
        <v>30.8</v>
      </c>
      <c r="G40" s="118">
        <f t="shared" si="102"/>
        <v>1.2833333333333334</v>
      </c>
      <c r="H40" s="119">
        <f t="shared" si="113"/>
        <v>8.0634211442138035</v>
      </c>
      <c r="I40" s="118">
        <f t="shared" si="103"/>
        <v>5.1740285675371904</v>
      </c>
      <c r="J40" s="219">
        <v>0.3</v>
      </c>
      <c r="K40" s="115">
        <f t="shared" si="120"/>
        <v>132</v>
      </c>
      <c r="L40" s="353">
        <f t="shared" si="114"/>
        <v>0.435</v>
      </c>
      <c r="M40" s="121">
        <f t="shared" si="121"/>
        <v>297.09272034798545</v>
      </c>
      <c r="N40" s="118">
        <f t="shared" si="115"/>
        <v>42.202663451814885</v>
      </c>
      <c r="O40" s="122">
        <f t="shared" si="104"/>
        <v>4.5545472883172719E-2</v>
      </c>
      <c r="P40" s="122">
        <f t="shared" si="105"/>
        <v>0.32062498742162421</v>
      </c>
      <c r="Q40" s="122">
        <f t="shared" si="106"/>
        <v>0.8</v>
      </c>
      <c r="R40" s="118">
        <f t="shared" si="122"/>
        <v>2.1101331725907442</v>
      </c>
      <c r="S40" s="123">
        <f t="shared" si="123"/>
        <v>9.6250000000000002E-2</v>
      </c>
      <c r="T40" s="117">
        <f t="shared" si="107"/>
        <v>25</v>
      </c>
      <c r="U40" s="356"/>
      <c r="V40" s="245">
        <f t="shared" si="124"/>
        <v>1</v>
      </c>
      <c r="W40" s="318">
        <v>15</v>
      </c>
      <c r="X40" s="118">
        <f t="shared" si="108"/>
        <v>706.85834705770344</v>
      </c>
      <c r="Y40" s="157">
        <f t="shared" si="109"/>
        <v>61.62479396518188</v>
      </c>
      <c r="AR40" s="37" t="s">
        <v>262</v>
      </c>
      <c r="AS40" s="37"/>
      <c r="AT40" s="37"/>
      <c r="AU40" s="215">
        <f>AU39*R1*T1/100/2000</f>
        <v>54.02997421442992</v>
      </c>
      <c r="AY40" s="138">
        <f t="shared" si="112"/>
        <v>10</v>
      </c>
      <c r="AZ40" s="114">
        <f t="shared" si="92"/>
        <v>120</v>
      </c>
      <c r="BA40" s="118">
        <f t="shared" si="88"/>
        <v>103.74671797543498</v>
      </c>
      <c r="BB40" s="114">
        <f t="shared" si="93"/>
        <v>49</v>
      </c>
      <c r="BC40" s="118">
        <f t="shared" si="94"/>
        <v>2.4489795918367347</v>
      </c>
      <c r="BD40" s="114">
        <f t="shared" si="95"/>
        <v>0.9</v>
      </c>
      <c r="BE40" s="118">
        <f t="shared" si="89"/>
        <v>23.865320930539234</v>
      </c>
      <c r="BF40" s="118">
        <f t="shared" si="125"/>
        <v>48.84806334430295</v>
      </c>
      <c r="BG40" s="118">
        <f t="shared" si="126"/>
        <v>2.12386553063899</v>
      </c>
      <c r="BH40" s="118">
        <f t="shared" si="127"/>
        <v>108.57770746798633</v>
      </c>
      <c r="BI40" s="435">
        <f t="shared" si="99"/>
        <v>49.724204739835557</v>
      </c>
    </row>
    <row r="41" spans="1:73" ht="27" thickBot="1">
      <c r="A41" s="138" t="s">
        <v>16</v>
      </c>
      <c r="B41" s="114">
        <v>180</v>
      </c>
      <c r="C41" s="221">
        <v>2.5000000000000001E-2</v>
      </c>
      <c r="D41" s="117">
        <f t="shared" si="100"/>
        <v>8.8333333333333333E-2</v>
      </c>
      <c r="E41" s="114">
        <f t="shared" si="119"/>
        <v>15.9</v>
      </c>
      <c r="F41" s="115">
        <f t="shared" si="101"/>
        <v>31.8</v>
      </c>
      <c r="G41" s="118">
        <f t="shared" si="102"/>
        <v>1.325</v>
      </c>
      <c r="H41" s="125">
        <f t="shared" si="113"/>
        <v>8.3252205320129509</v>
      </c>
      <c r="I41" s="118">
        <f t="shared" si="103"/>
        <v>5.5154586024585806</v>
      </c>
      <c r="J41" s="219">
        <v>0.1</v>
      </c>
      <c r="K41" s="115">
        <f t="shared" si="120"/>
        <v>134</v>
      </c>
      <c r="L41" s="353">
        <f t="shared" si="114"/>
        <v>0.435</v>
      </c>
      <c r="M41" s="121">
        <f t="shared" si="121"/>
        <v>321.49608193731063</v>
      </c>
      <c r="N41" s="118">
        <f t="shared" si="115"/>
        <v>24.403361589325186</v>
      </c>
      <c r="O41" s="122">
        <f t="shared" si="104"/>
        <v>2.6336315118923415E-2</v>
      </c>
      <c r="P41" s="122">
        <f t="shared" si="105"/>
        <v>0.34696130254054763</v>
      </c>
      <c r="Q41" s="122">
        <f t="shared" si="106"/>
        <v>0.9</v>
      </c>
      <c r="R41" s="118">
        <f t="shared" si="122"/>
        <v>1.2201680794662593</v>
      </c>
      <c r="S41" s="123">
        <f t="shared" si="123"/>
        <v>8.8333333333333333E-2</v>
      </c>
      <c r="T41" s="117">
        <f t="shared" si="107"/>
        <v>40</v>
      </c>
      <c r="U41" s="356"/>
      <c r="V41" s="245">
        <f t="shared" si="124"/>
        <v>1</v>
      </c>
      <c r="W41" s="318">
        <v>16</v>
      </c>
      <c r="X41" s="118">
        <f t="shared" si="108"/>
        <v>804.24771931898704</v>
      </c>
      <c r="Y41" s="157">
        <f t="shared" si="109"/>
        <v>54.16241657096063</v>
      </c>
      <c r="AR41" s="37" t="s">
        <v>263</v>
      </c>
      <c r="AS41" s="37"/>
      <c r="AT41" s="37"/>
      <c r="AU41" s="215">
        <f>AV41</f>
        <v>2.1</v>
      </c>
      <c r="AV41" s="38">
        <f>10*20*42*0.5/2000</f>
        <v>2.1</v>
      </c>
      <c r="AY41" s="138">
        <f t="shared" si="112"/>
        <v>11</v>
      </c>
      <c r="AZ41" s="114">
        <f t="shared" si="92"/>
        <v>120</v>
      </c>
      <c r="BA41" s="118">
        <f t="shared" si="88"/>
        <v>103.74671797543498</v>
      </c>
      <c r="BB41" s="114">
        <f t="shared" si="93"/>
        <v>49</v>
      </c>
      <c r="BC41" s="118">
        <f t="shared" si="94"/>
        <v>2.4489795918367347</v>
      </c>
      <c r="BD41" s="114">
        <f t="shared" si="95"/>
        <v>0.9</v>
      </c>
      <c r="BE41" s="118">
        <f t="shared" si="89"/>
        <v>23.865320930539234</v>
      </c>
      <c r="BF41" s="118">
        <f t="shared" si="125"/>
        <v>48.84806334430295</v>
      </c>
      <c r="BG41" s="118">
        <f t="shared" si="126"/>
        <v>2.12386553063899</v>
      </c>
      <c r="BH41" s="118">
        <f t="shared" si="127"/>
        <v>109.06080641724147</v>
      </c>
      <c r="BI41" s="435">
        <f t="shared" si="99"/>
        <v>49.811818879388817</v>
      </c>
    </row>
    <row r="42" spans="1:73" ht="27" thickBot="1">
      <c r="A42" s="139" t="s">
        <v>17</v>
      </c>
      <c r="B42" s="140">
        <v>200</v>
      </c>
      <c r="C42" s="248">
        <v>1.4999999999999999E-2</v>
      </c>
      <c r="D42" s="141">
        <f t="shared" si="100"/>
        <v>8.1000000000000003E-2</v>
      </c>
      <c r="E42" s="140">
        <f t="shared" si="119"/>
        <v>16.2</v>
      </c>
      <c r="F42" s="142">
        <f t="shared" si="101"/>
        <v>32.4</v>
      </c>
      <c r="G42" s="143">
        <f t="shared" si="102"/>
        <v>1.3499999999999999</v>
      </c>
      <c r="H42" s="144">
        <f t="shared" si="113"/>
        <v>8.4823001646924414</v>
      </c>
      <c r="I42" s="143">
        <f t="shared" si="103"/>
        <v>5.7255526111673962</v>
      </c>
      <c r="J42" s="220">
        <v>0.05</v>
      </c>
      <c r="K42" s="142">
        <f t="shared" si="120"/>
        <v>135</v>
      </c>
      <c r="L42" s="354">
        <f t="shared" si="114"/>
        <v>0.435</v>
      </c>
      <c r="M42" s="145">
        <f t="shared" si="121"/>
        <v>336.23307709080535</v>
      </c>
      <c r="N42" s="143">
        <f t="shared" si="115"/>
        <v>14.736995153494718</v>
      </c>
      <c r="O42" s="146">
        <f t="shared" si="104"/>
        <v>1.5904290351467783E-2</v>
      </c>
      <c r="P42" s="146">
        <f t="shared" si="105"/>
        <v>0.36286559289201542</v>
      </c>
      <c r="Q42" s="146">
        <f t="shared" si="106"/>
        <v>1</v>
      </c>
      <c r="R42" s="143">
        <f t="shared" si="122"/>
        <v>0.73684975767473593</v>
      </c>
      <c r="S42" s="147">
        <f t="shared" si="123"/>
        <v>8.1000000000000003E-2</v>
      </c>
      <c r="T42" s="141">
        <f t="shared" si="107"/>
        <v>66.666666666666671</v>
      </c>
      <c r="U42" s="357"/>
      <c r="V42" s="246">
        <f t="shared" si="124"/>
        <v>1</v>
      </c>
      <c r="W42" s="319">
        <v>17</v>
      </c>
      <c r="X42" s="143">
        <f t="shared" si="108"/>
        <v>907.9202768874502</v>
      </c>
      <c r="Y42" s="158">
        <f t="shared" si="109"/>
        <v>47.977780768740217</v>
      </c>
      <c r="AR42" s="37" t="s">
        <v>264</v>
      </c>
      <c r="AS42" s="37"/>
      <c r="AT42" s="37"/>
      <c r="AU42" s="215">
        <f>SUM(AU40:AU41)</f>
        <v>56.129974214429922</v>
      </c>
      <c r="AV42" s="327" t="s">
        <v>307</v>
      </c>
      <c r="AW42" s="327" t="s">
        <v>274</v>
      </c>
      <c r="AX42" s="359">
        <f>(AU28+AU42)/2</f>
        <v>41.218358738081662</v>
      </c>
      <c r="AY42" s="138">
        <f t="shared" si="112"/>
        <v>12</v>
      </c>
      <c r="AZ42" s="114">
        <f t="shared" si="92"/>
        <v>120</v>
      </c>
      <c r="BA42" s="118">
        <f t="shared" si="88"/>
        <v>103.74671797543498</v>
      </c>
      <c r="BB42" s="114">
        <f t="shared" si="93"/>
        <v>49</v>
      </c>
      <c r="BC42" s="118">
        <f t="shared" si="94"/>
        <v>2.4489795918367347</v>
      </c>
      <c r="BD42" s="114">
        <f t="shared" si="95"/>
        <v>0.9</v>
      </c>
      <c r="BE42" s="118">
        <f t="shared" si="89"/>
        <v>23.865320930539234</v>
      </c>
      <c r="BF42" s="118">
        <f t="shared" si="125"/>
        <v>48.84806334430295</v>
      </c>
      <c r="BG42" s="118">
        <f t="shared" si="126"/>
        <v>2.12386553063899</v>
      </c>
      <c r="BH42" s="118">
        <f t="shared" si="127"/>
        <v>109.5439053664966</v>
      </c>
      <c r="BI42" s="435">
        <f t="shared" si="99"/>
        <v>49.899433018942077</v>
      </c>
    </row>
    <row r="43" spans="1:73" ht="30" thickBot="1">
      <c r="W43" s="225" t="s">
        <v>199</v>
      </c>
      <c r="X43" s="25"/>
      <c r="Y43" s="36"/>
      <c r="AV43" s="361" t="s">
        <v>306</v>
      </c>
      <c r="AW43" s="361" t="s">
        <v>274</v>
      </c>
      <c r="AX43" s="428">
        <f>AX42*2000/2204.6</f>
        <v>37.39304974878133</v>
      </c>
      <c r="AY43" s="138">
        <f t="shared" si="112"/>
        <v>13</v>
      </c>
      <c r="AZ43" s="114">
        <f t="shared" si="92"/>
        <v>120</v>
      </c>
      <c r="BA43" s="118">
        <f t="shared" si="88"/>
        <v>103.74671797543498</v>
      </c>
      <c r="BB43" s="114">
        <f t="shared" si="93"/>
        <v>49</v>
      </c>
      <c r="BC43" s="118">
        <f t="shared" si="94"/>
        <v>2.4489795918367347</v>
      </c>
      <c r="BD43" s="114">
        <f t="shared" si="95"/>
        <v>0.9</v>
      </c>
      <c r="BE43" s="118">
        <f t="shared" si="89"/>
        <v>23.865320930539234</v>
      </c>
      <c r="BF43" s="118">
        <f t="shared" si="125"/>
        <v>48.84806334430295</v>
      </c>
      <c r="BG43" s="118">
        <f t="shared" si="126"/>
        <v>2.12386553063899</v>
      </c>
      <c r="BH43" s="118">
        <f t="shared" si="127"/>
        <v>110.02700431575174</v>
      </c>
      <c r="BI43" s="435">
        <f t="shared" si="99"/>
        <v>49.987047158495336</v>
      </c>
    </row>
    <row r="44" spans="1:73" ht="27" thickBot="1">
      <c r="A44" s="257" t="s">
        <v>223</v>
      </c>
      <c r="B44" s="25"/>
      <c r="C44" s="25"/>
      <c r="D44" s="36"/>
      <c r="W44" s="167"/>
      <c r="X44" s="171"/>
      <c r="Y44" s="168"/>
      <c r="AK44" s="257" t="s">
        <v>211</v>
      </c>
      <c r="AL44" s="258"/>
      <c r="AM44" s="258"/>
      <c r="AN44" s="258"/>
      <c r="AO44" s="259"/>
      <c r="AY44" s="138">
        <f t="shared" si="112"/>
        <v>14</v>
      </c>
      <c r="AZ44" s="114">
        <f t="shared" si="92"/>
        <v>120</v>
      </c>
      <c r="BA44" s="118">
        <f t="shared" si="88"/>
        <v>103.74671797543498</v>
      </c>
      <c r="BB44" s="114">
        <f t="shared" si="93"/>
        <v>49</v>
      </c>
      <c r="BC44" s="118">
        <f t="shared" si="94"/>
        <v>2.4489795918367347</v>
      </c>
      <c r="BD44" s="114">
        <f t="shared" si="95"/>
        <v>0.9</v>
      </c>
      <c r="BE44" s="118">
        <f t="shared" si="89"/>
        <v>23.865320930539234</v>
      </c>
      <c r="BF44" s="118">
        <f t="shared" si="125"/>
        <v>48.84806334430295</v>
      </c>
      <c r="BG44" s="118">
        <f t="shared" si="126"/>
        <v>2.12386553063899</v>
      </c>
      <c r="BH44" s="118">
        <f t="shared" si="127"/>
        <v>110.51010326500688</v>
      </c>
      <c r="BI44" s="435">
        <f t="shared" si="99"/>
        <v>50.074661298048596</v>
      </c>
    </row>
    <row r="45" spans="1:73" ht="133" thickBot="1">
      <c r="A45" s="132" t="s">
        <v>1</v>
      </c>
      <c r="B45" s="133" t="s">
        <v>4</v>
      </c>
      <c r="C45" s="133" t="s">
        <v>10</v>
      </c>
      <c r="D45" s="133" t="s">
        <v>172</v>
      </c>
      <c r="E45" s="133" t="s">
        <v>173</v>
      </c>
      <c r="F45" s="134" t="s">
        <v>163</v>
      </c>
      <c r="G45" s="133" t="s">
        <v>174</v>
      </c>
      <c r="H45" s="133" t="s">
        <v>7</v>
      </c>
      <c r="I45" s="133" t="s">
        <v>5</v>
      </c>
      <c r="J45" s="133" t="s">
        <v>175</v>
      </c>
      <c r="K45" s="134" t="s">
        <v>8</v>
      </c>
      <c r="L45" s="135" t="s">
        <v>166</v>
      </c>
      <c r="M45" s="136" t="s">
        <v>6</v>
      </c>
      <c r="N45" s="133" t="s">
        <v>176</v>
      </c>
      <c r="O45" s="133" t="s">
        <v>177</v>
      </c>
      <c r="P45" s="133" t="s">
        <v>167</v>
      </c>
      <c r="Q45" s="133" t="s">
        <v>168</v>
      </c>
      <c r="R45" s="133" t="s">
        <v>9</v>
      </c>
      <c r="S45" s="133" t="s">
        <v>178</v>
      </c>
      <c r="T45" s="133" t="s">
        <v>179</v>
      </c>
      <c r="U45" s="136" t="s">
        <v>170</v>
      </c>
      <c r="V45" s="237" t="s">
        <v>171</v>
      </c>
      <c r="W45" s="150" t="s">
        <v>181</v>
      </c>
      <c r="X45" s="151" t="s">
        <v>180</v>
      </c>
      <c r="Y45" s="152" t="s">
        <v>182</v>
      </c>
      <c r="AK45" s="155" t="s">
        <v>183</v>
      </c>
      <c r="AL45" s="133" t="s">
        <v>185</v>
      </c>
      <c r="AM45" s="133" t="s">
        <v>184</v>
      </c>
      <c r="AN45" s="133" t="s">
        <v>265</v>
      </c>
      <c r="AO45" s="133" t="s">
        <v>266</v>
      </c>
      <c r="AP45" s="133" t="s">
        <v>267</v>
      </c>
      <c r="AQ45" s="133" t="s">
        <v>268</v>
      </c>
      <c r="AR45" s="133" t="s">
        <v>269</v>
      </c>
      <c r="AS45" s="133" t="s">
        <v>259</v>
      </c>
      <c r="AT45" s="133" t="s">
        <v>270</v>
      </c>
      <c r="AU45" s="133" t="s">
        <v>271</v>
      </c>
      <c r="AV45" s="133" t="s">
        <v>272</v>
      </c>
      <c r="AW45" s="156" t="s">
        <v>273</v>
      </c>
      <c r="AY45" s="138">
        <f t="shared" si="112"/>
        <v>15</v>
      </c>
      <c r="AZ45" s="114">
        <f t="shared" si="92"/>
        <v>120</v>
      </c>
      <c r="BA45" s="118">
        <f t="shared" si="88"/>
        <v>103.74671797543498</v>
      </c>
      <c r="BB45" s="114">
        <f t="shared" si="93"/>
        <v>49</v>
      </c>
      <c r="BC45" s="118">
        <f t="shared" si="94"/>
        <v>2.4489795918367347</v>
      </c>
      <c r="BD45" s="114">
        <f t="shared" si="95"/>
        <v>0.9</v>
      </c>
      <c r="BE45" s="118">
        <f t="shared" si="89"/>
        <v>23.865320930539234</v>
      </c>
      <c r="BF45" s="118">
        <f t="shared" si="125"/>
        <v>48.84806334430295</v>
      </c>
      <c r="BG45" s="118">
        <f t="shared" si="126"/>
        <v>2.12386553063899</v>
      </c>
      <c r="BH45" s="118">
        <f t="shared" si="127"/>
        <v>110.993202214262</v>
      </c>
      <c r="BI45" s="435">
        <f t="shared" si="99"/>
        <v>50.162275437601856</v>
      </c>
    </row>
    <row r="46" spans="1:73">
      <c r="A46" s="137" t="s">
        <v>3</v>
      </c>
      <c r="B46" s="114">
        <v>0</v>
      </c>
      <c r="C46" s="219">
        <v>0</v>
      </c>
      <c r="D46" s="114">
        <v>0</v>
      </c>
      <c r="E46" s="114">
        <v>0</v>
      </c>
      <c r="F46" s="115">
        <f>E46*2</f>
        <v>0</v>
      </c>
      <c r="G46" s="114">
        <v>0</v>
      </c>
      <c r="H46" s="116">
        <v>0</v>
      </c>
      <c r="I46" s="114">
        <v>0</v>
      </c>
      <c r="J46" s="219">
        <v>0</v>
      </c>
      <c r="K46" s="115">
        <v>0</v>
      </c>
      <c r="L46" s="353">
        <v>0</v>
      </c>
      <c r="M46" s="120">
        <v>0</v>
      </c>
      <c r="N46" s="114">
        <v>0</v>
      </c>
      <c r="O46" s="114">
        <f t="shared" ref="O46:O56" si="128">N46/$M$56</f>
        <v>0</v>
      </c>
      <c r="P46" s="114">
        <f t="shared" ref="P46:P56" si="129">M46/$M$56</f>
        <v>0</v>
      </c>
      <c r="Q46" s="114">
        <v>0</v>
      </c>
      <c r="R46" s="114">
        <v>0</v>
      </c>
      <c r="S46" s="114">
        <v>0</v>
      </c>
      <c r="T46" s="114">
        <v>0</v>
      </c>
      <c r="U46" s="355">
        <v>0</v>
      </c>
      <c r="V46" s="114">
        <v>0</v>
      </c>
      <c r="W46" s="318"/>
      <c r="X46" s="171"/>
      <c r="Y46" s="168"/>
      <c r="AK46" s="161">
        <v>1</v>
      </c>
      <c r="AL46" s="186" t="s">
        <v>165</v>
      </c>
      <c r="AM46" s="149">
        <f>Y8</f>
        <v>171.17998323661632</v>
      </c>
      <c r="AN46" s="149">
        <f>M8</f>
        <v>52.914473382943612</v>
      </c>
      <c r="AO46" s="149">
        <f>AM46*AN46</f>
        <v>9057.8986666666679</v>
      </c>
      <c r="AP46" s="149">
        <f>W8</f>
        <v>9</v>
      </c>
      <c r="AQ46" s="149">
        <f>AP46^2*PI()</f>
        <v>254.46900494077323</v>
      </c>
      <c r="AR46" s="149">
        <f t="shared" ref="AR46:AR51" si="130">AM46*AQ46</f>
        <v>43560</v>
      </c>
      <c r="AS46" s="321"/>
      <c r="AT46" s="222">
        <f>AT52-SUM(AT47:AT51)</f>
        <v>47.2</v>
      </c>
      <c r="AU46" s="149">
        <f t="shared" ref="AU46:AU50" si="131">AT46*AN46</f>
        <v>2497.5631436749386</v>
      </c>
      <c r="AV46" s="149">
        <f>AT46*AQ46</f>
        <v>12010.937033204496</v>
      </c>
      <c r="AW46" s="172">
        <f>AV46</f>
        <v>12010.937033204496</v>
      </c>
      <c r="AY46" s="138">
        <f t="shared" si="112"/>
        <v>16</v>
      </c>
      <c r="AZ46" s="114">
        <f t="shared" si="92"/>
        <v>120</v>
      </c>
      <c r="BA46" s="118">
        <f t="shared" si="88"/>
        <v>103.74671797543498</v>
      </c>
      <c r="BB46" s="114">
        <f t="shared" si="93"/>
        <v>49</v>
      </c>
      <c r="BC46" s="118">
        <f t="shared" si="94"/>
        <v>2.4489795918367347</v>
      </c>
      <c r="BD46" s="114">
        <f t="shared" si="95"/>
        <v>0.9</v>
      </c>
      <c r="BE46" s="118">
        <f t="shared" si="89"/>
        <v>23.865320930539234</v>
      </c>
      <c r="BF46" s="118">
        <f t="shared" si="125"/>
        <v>48.84806334430295</v>
      </c>
      <c r="BG46" s="118">
        <f t="shared" si="126"/>
        <v>2.12386553063899</v>
      </c>
      <c r="BH46" s="118">
        <f t="shared" si="127"/>
        <v>111.47630116351714</v>
      </c>
      <c r="BI46" s="435">
        <f t="shared" si="99"/>
        <v>50.249889577155116</v>
      </c>
    </row>
    <row r="47" spans="1:73" ht="24">
      <c r="A47" s="138" t="s">
        <v>2</v>
      </c>
      <c r="B47" s="114">
        <v>20</v>
      </c>
      <c r="C47" s="219">
        <v>0.16</v>
      </c>
      <c r="D47" s="117">
        <f t="shared" ref="D47:D56" si="132">E47/B47</f>
        <v>0.16</v>
      </c>
      <c r="E47" s="114">
        <f>B47*C47</f>
        <v>3.2</v>
      </c>
      <c r="F47" s="115">
        <f t="shared" ref="F47:F56" si="133">E47*2</f>
        <v>6.4</v>
      </c>
      <c r="G47" s="118">
        <f t="shared" ref="G47:G56" si="134">E47/12</f>
        <v>0.26666666666666666</v>
      </c>
      <c r="H47" s="119">
        <f>PI()*2*G47</f>
        <v>1.6755160819145563</v>
      </c>
      <c r="I47" s="118">
        <f>PI()*G47^2</f>
        <v>0.22340214425527419</v>
      </c>
      <c r="J47" s="219">
        <v>1.1499999999999999</v>
      </c>
      <c r="K47" s="115">
        <f>B47*J47</f>
        <v>23</v>
      </c>
      <c r="L47" s="353">
        <f>$V$1</f>
        <v>0.435</v>
      </c>
      <c r="M47" s="121">
        <f>I47*K47*L47</f>
        <v>2.2351384532740184</v>
      </c>
      <c r="N47" s="118">
        <f>M47-M46</f>
        <v>2.2351384532740184</v>
      </c>
      <c r="O47" s="122">
        <f t="shared" si="128"/>
        <v>5.2275120237826036E-3</v>
      </c>
      <c r="P47" s="122">
        <f t="shared" si="129"/>
        <v>5.2275120237826036E-3</v>
      </c>
      <c r="Q47" s="122">
        <f t="shared" ref="Q47:Q56" si="135">B47/$B$56</f>
        <v>0.1</v>
      </c>
      <c r="R47" s="118">
        <f>N47/(B47-B46)</f>
        <v>0.11175692266370092</v>
      </c>
      <c r="S47" s="123">
        <f>E47/B47</f>
        <v>0.16</v>
      </c>
      <c r="T47" s="117">
        <f>1/C47</f>
        <v>6.25</v>
      </c>
      <c r="U47" s="356"/>
      <c r="V47" s="131">
        <f>(M47-U47)/M47</f>
        <v>1</v>
      </c>
      <c r="W47" s="318">
        <v>8.5</v>
      </c>
      <c r="X47" s="118">
        <f t="shared" ref="X47:X56" si="136">PI()*W47^2</f>
        <v>226.98006922186255</v>
      </c>
      <c r="Y47" s="157">
        <f t="shared" ref="Y47:Y56" si="137">43560/X47</f>
        <v>191.91112307496087</v>
      </c>
      <c r="AK47" s="161">
        <v>2</v>
      </c>
      <c r="AL47" s="54" t="s">
        <v>165</v>
      </c>
      <c r="AM47" s="149">
        <f>Y22</f>
        <v>125.76488564322833</v>
      </c>
      <c r="AN47" s="149">
        <f>M22</f>
        <v>84.127453033419641</v>
      </c>
      <c r="AO47" s="149">
        <f>AM47*AN47</f>
        <v>10580.279510204084</v>
      </c>
      <c r="AP47" s="149">
        <f>W22</f>
        <v>10.5</v>
      </c>
      <c r="AQ47" s="149">
        <f t="shared" ref="AQ47:AQ50" si="138">AP47^2*PI()</f>
        <v>346.36059005827468</v>
      </c>
      <c r="AR47" s="149">
        <f t="shared" si="130"/>
        <v>43560</v>
      </c>
      <c r="AS47" s="321">
        <v>0.2</v>
      </c>
      <c r="AT47" s="222">
        <f>AS47*$AT$52</f>
        <v>25.6</v>
      </c>
      <c r="AU47" s="149">
        <f t="shared" si="131"/>
        <v>2153.6627976555428</v>
      </c>
      <c r="AV47" s="149">
        <f t="shared" ref="AV47:AV50" si="139">AT47*AQ47</f>
        <v>8866.8311054918322</v>
      </c>
      <c r="AW47" s="172">
        <f>AV47+AW46</f>
        <v>20877.76813869633</v>
      </c>
      <c r="AY47" s="138">
        <f t="shared" si="112"/>
        <v>17</v>
      </c>
      <c r="AZ47" s="114">
        <f t="shared" si="92"/>
        <v>120</v>
      </c>
      <c r="BA47" s="118">
        <f t="shared" si="88"/>
        <v>103.74671797543498</v>
      </c>
      <c r="BB47" s="114">
        <f t="shared" si="93"/>
        <v>49</v>
      </c>
      <c r="BC47" s="118">
        <f t="shared" si="94"/>
        <v>2.4489795918367347</v>
      </c>
      <c r="BD47" s="114">
        <f t="shared" si="95"/>
        <v>0.9</v>
      </c>
      <c r="BE47" s="118">
        <f t="shared" si="89"/>
        <v>23.865320930539234</v>
      </c>
      <c r="BF47" s="118">
        <f t="shared" si="125"/>
        <v>48.84806334430295</v>
      </c>
      <c r="BG47" s="118">
        <f t="shared" si="126"/>
        <v>2.12386553063899</v>
      </c>
      <c r="BH47" s="118">
        <f t="shared" si="127"/>
        <v>111.95940011277227</v>
      </c>
      <c r="BI47" s="435">
        <f t="shared" si="99"/>
        <v>50.337503716708376</v>
      </c>
    </row>
    <row r="48" spans="1:73" ht="24">
      <c r="A48" s="138" t="s">
        <v>11</v>
      </c>
      <c r="B48" s="114">
        <v>40</v>
      </c>
      <c r="C48" s="219">
        <v>0.23</v>
      </c>
      <c r="D48" s="117">
        <f t="shared" si="132"/>
        <v>0.19500000000000001</v>
      </c>
      <c r="E48" s="114">
        <f>(B48-B47)*C48+E47</f>
        <v>7.8000000000000007</v>
      </c>
      <c r="F48" s="115">
        <f t="shared" si="133"/>
        <v>15.600000000000001</v>
      </c>
      <c r="G48" s="118">
        <f t="shared" si="134"/>
        <v>0.65</v>
      </c>
      <c r="H48" s="119">
        <f t="shared" ref="H48:H56" si="140">PI()*2*G48</f>
        <v>4.0840704496667311</v>
      </c>
      <c r="I48" s="118">
        <f>PI()*G48^2</f>
        <v>1.3273228961416876</v>
      </c>
      <c r="J48" s="219">
        <v>2.2000000000000002</v>
      </c>
      <c r="K48" s="115">
        <f>(B48-B47)*J48+K47</f>
        <v>67</v>
      </c>
      <c r="L48" s="353">
        <f t="shared" ref="L48:L56" si="141">$V$1</f>
        <v>0.435</v>
      </c>
      <c r="M48" s="121">
        <f>I48*K48*L48</f>
        <v>38.684825808049489</v>
      </c>
      <c r="N48" s="118">
        <f t="shared" ref="N48:N56" si="142">M48-M47</f>
        <v>36.44968735477547</v>
      </c>
      <c r="O48" s="122">
        <f t="shared" si="128"/>
        <v>8.5248042970717017E-2</v>
      </c>
      <c r="P48" s="122">
        <f t="shared" si="129"/>
        <v>9.0475554994499621E-2</v>
      </c>
      <c r="Q48" s="122">
        <f t="shared" si="135"/>
        <v>0.2</v>
      </c>
      <c r="R48" s="118">
        <f>N48/(B48-B47)</f>
        <v>1.8224843677387734</v>
      </c>
      <c r="S48" s="123">
        <f>E48/B48</f>
        <v>0.19500000000000001</v>
      </c>
      <c r="T48" s="117">
        <f>1/C48</f>
        <v>4.3478260869565215</v>
      </c>
      <c r="U48" s="356"/>
      <c r="V48" s="131">
        <f t="shared" ref="V48:V56" si="143">(M48-U48)/M48</f>
        <v>1</v>
      </c>
      <c r="W48" s="318">
        <v>9.5</v>
      </c>
      <c r="X48" s="118">
        <f t="shared" si="136"/>
        <v>283.5287369864788</v>
      </c>
      <c r="Y48" s="157">
        <f t="shared" si="137"/>
        <v>153.63522041181079</v>
      </c>
      <c r="AK48" s="161">
        <v>3</v>
      </c>
      <c r="AL48" s="54" t="s">
        <v>165</v>
      </c>
      <c r="AM48" s="149">
        <f>Y36</f>
        <v>114.59155902616465</v>
      </c>
      <c r="AN48" s="149">
        <f>M36</f>
        <v>112.90789749222111</v>
      </c>
      <c r="AO48" s="149">
        <f t="shared" ref="AO48:AO50" si="144">AM48*AN48</f>
        <v>12938.292000000003</v>
      </c>
      <c r="AP48" s="149">
        <f>W36</f>
        <v>11</v>
      </c>
      <c r="AQ48" s="149">
        <f t="shared" si="138"/>
        <v>380.13271108436498</v>
      </c>
      <c r="AR48" s="149">
        <f t="shared" si="130"/>
        <v>43560</v>
      </c>
      <c r="AS48" s="321">
        <v>0.3</v>
      </c>
      <c r="AT48" s="222">
        <f t="shared" ref="AT48:AT49" si="145">AS48*$AT$52</f>
        <v>38.4</v>
      </c>
      <c r="AU48" s="149">
        <f t="shared" si="131"/>
        <v>4335.6632637012908</v>
      </c>
      <c r="AV48" s="149">
        <f t="shared" si="139"/>
        <v>14597.096105639615</v>
      </c>
      <c r="AW48" s="172">
        <f t="shared" ref="AW48:AW51" si="146">AV48+AW47</f>
        <v>35474.864244335942</v>
      </c>
      <c r="AY48" s="138">
        <f t="shared" si="112"/>
        <v>18</v>
      </c>
      <c r="AZ48" s="114">
        <f t="shared" si="92"/>
        <v>120</v>
      </c>
      <c r="BA48" s="118">
        <f t="shared" si="88"/>
        <v>103.74671797543498</v>
      </c>
      <c r="BB48" s="114">
        <f t="shared" si="93"/>
        <v>49</v>
      </c>
      <c r="BC48" s="118">
        <f t="shared" si="94"/>
        <v>2.4489795918367347</v>
      </c>
      <c r="BD48" s="114">
        <f t="shared" si="95"/>
        <v>0.9</v>
      </c>
      <c r="BE48" s="118">
        <f t="shared" si="89"/>
        <v>23.865320930539234</v>
      </c>
      <c r="BF48" s="118">
        <f t="shared" si="125"/>
        <v>48.84806334430295</v>
      </c>
      <c r="BG48" s="118">
        <f t="shared" si="126"/>
        <v>2.12386553063899</v>
      </c>
      <c r="BH48" s="118">
        <f t="shared" si="127"/>
        <v>112.44249906202741</v>
      </c>
      <c r="BI48" s="435">
        <f t="shared" si="99"/>
        <v>50.425117856261636</v>
      </c>
    </row>
    <row r="49" spans="1:61" ht="24">
      <c r="A49" s="138" t="s">
        <v>164</v>
      </c>
      <c r="B49" s="114">
        <v>60</v>
      </c>
      <c r="C49" s="219">
        <v>0.15</v>
      </c>
      <c r="D49" s="117">
        <f t="shared" si="132"/>
        <v>0.18000000000000002</v>
      </c>
      <c r="E49" s="114">
        <f t="shared" ref="E49:E56" si="147">(B49-B48)*C49+E48</f>
        <v>10.8</v>
      </c>
      <c r="F49" s="115">
        <f t="shared" si="133"/>
        <v>21.6</v>
      </c>
      <c r="G49" s="118">
        <f t="shared" si="134"/>
        <v>0.9</v>
      </c>
      <c r="H49" s="119">
        <f t="shared" si="140"/>
        <v>5.6548667764616276</v>
      </c>
      <c r="I49" s="118">
        <f t="shared" ref="I49:I56" si="148">PI()*G49^2</f>
        <v>2.5446900494077327</v>
      </c>
      <c r="J49" s="219">
        <v>1.2</v>
      </c>
      <c r="K49" s="115">
        <f t="shared" ref="K49:K56" si="149">(B49-B48)*J49+K48</f>
        <v>91</v>
      </c>
      <c r="L49" s="353">
        <f t="shared" si="141"/>
        <v>0.435</v>
      </c>
      <c r="M49" s="121">
        <f t="shared" ref="M49:M56" si="150">I49*K49*L49</f>
        <v>100.7315556058051</v>
      </c>
      <c r="N49" s="118">
        <f t="shared" si="142"/>
        <v>62.04672979775561</v>
      </c>
      <c r="O49" s="122">
        <f t="shared" si="128"/>
        <v>0.14511406466970836</v>
      </c>
      <c r="P49" s="122">
        <f t="shared" si="129"/>
        <v>0.23558961966420799</v>
      </c>
      <c r="Q49" s="122">
        <f t="shared" si="135"/>
        <v>0.3</v>
      </c>
      <c r="R49" s="118">
        <f t="shared" ref="R49:R56" si="151">N49/(B49-B48)</f>
        <v>3.1023364898877803</v>
      </c>
      <c r="S49" s="123">
        <f t="shared" ref="S49:S56" si="152">E49/B49</f>
        <v>0.18000000000000002</v>
      </c>
      <c r="T49" s="117">
        <f t="shared" ref="T49:T56" si="153">1/C49</f>
        <v>6.666666666666667</v>
      </c>
      <c r="U49" s="356"/>
      <c r="V49" s="131">
        <f t="shared" si="143"/>
        <v>1</v>
      </c>
      <c r="W49" s="318">
        <v>10.5</v>
      </c>
      <c r="X49" s="118">
        <f t="shared" si="136"/>
        <v>346.36059005827468</v>
      </c>
      <c r="Y49" s="157">
        <f t="shared" si="137"/>
        <v>125.76488564322833</v>
      </c>
      <c r="AK49" s="161">
        <v>4</v>
      </c>
      <c r="AL49" s="54" t="s">
        <v>165</v>
      </c>
      <c r="AM49" s="149">
        <f>Y50</f>
        <v>104.84369483679336</v>
      </c>
      <c r="AN49" s="149">
        <f>M50</f>
        <v>171.61178944698565</v>
      </c>
      <c r="AO49" s="149">
        <f t="shared" si="144"/>
        <v>17992.414083175798</v>
      </c>
      <c r="AP49" s="149">
        <f>W50</f>
        <v>11.5</v>
      </c>
      <c r="AQ49" s="149">
        <f t="shared" si="138"/>
        <v>415.47562843725012</v>
      </c>
      <c r="AR49" s="149">
        <f t="shared" si="130"/>
        <v>43560</v>
      </c>
      <c r="AS49" s="321">
        <v>0.1</v>
      </c>
      <c r="AT49" s="222">
        <f t="shared" si="145"/>
        <v>12.8</v>
      </c>
      <c r="AU49" s="149">
        <f t="shared" si="131"/>
        <v>2196.6309049214165</v>
      </c>
      <c r="AV49" s="149">
        <f t="shared" si="139"/>
        <v>5318.0880439968023</v>
      </c>
      <c r="AW49" s="172">
        <f t="shared" si="146"/>
        <v>40792.952288332745</v>
      </c>
      <c r="AY49" s="138">
        <f t="shared" si="112"/>
        <v>19</v>
      </c>
      <c r="AZ49" s="114">
        <f t="shared" si="92"/>
        <v>120</v>
      </c>
      <c r="BA49" s="118">
        <f t="shared" si="88"/>
        <v>103.74671797543498</v>
      </c>
      <c r="BB49" s="114">
        <f t="shared" si="93"/>
        <v>49</v>
      </c>
      <c r="BC49" s="118">
        <f t="shared" si="94"/>
        <v>2.4489795918367347</v>
      </c>
      <c r="BD49" s="114">
        <f t="shared" si="95"/>
        <v>0.9</v>
      </c>
      <c r="BE49" s="118">
        <f t="shared" si="89"/>
        <v>23.865320930539234</v>
      </c>
      <c r="BF49" s="118">
        <f t="shared" si="125"/>
        <v>48.84806334430295</v>
      </c>
      <c r="BG49" s="118">
        <f t="shared" si="126"/>
        <v>2.12386553063899</v>
      </c>
      <c r="BH49" s="118">
        <f t="shared" si="127"/>
        <v>112.92559801128255</v>
      </c>
      <c r="BI49" s="435">
        <f t="shared" si="99"/>
        <v>50.512731995814896</v>
      </c>
    </row>
    <row r="50" spans="1:61" ht="25" thickBot="1">
      <c r="A50" s="138" t="s">
        <v>165</v>
      </c>
      <c r="B50" s="114">
        <v>80</v>
      </c>
      <c r="C50" s="219">
        <v>0.11</v>
      </c>
      <c r="D50" s="117">
        <f t="shared" si="132"/>
        <v>0.16250000000000001</v>
      </c>
      <c r="E50" s="114">
        <f t="shared" si="147"/>
        <v>13</v>
      </c>
      <c r="F50" s="115">
        <f t="shared" si="133"/>
        <v>26</v>
      </c>
      <c r="G50" s="118">
        <f t="shared" si="134"/>
        <v>1.0833333333333333</v>
      </c>
      <c r="H50" s="119">
        <f t="shared" si="140"/>
        <v>6.8067840827778845</v>
      </c>
      <c r="I50" s="118">
        <f t="shared" si="148"/>
        <v>3.6870080448380205</v>
      </c>
      <c r="J50" s="219">
        <v>0.8</v>
      </c>
      <c r="K50" s="115">
        <f t="shared" si="149"/>
        <v>107</v>
      </c>
      <c r="L50" s="353">
        <f t="shared" si="141"/>
        <v>0.435</v>
      </c>
      <c r="M50" s="121">
        <f t="shared" si="150"/>
        <v>171.61178944698565</v>
      </c>
      <c r="N50" s="118">
        <f t="shared" si="142"/>
        <v>70.880233841180555</v>
      </c>
      <c r="O50" s="122">
        <f t="shared" si="128"/>
        <v>0.16577374619033003</v>
      </c>
      <c r="P50" s="122">
        <f t="shared" si="129"/>
        <v>0.40136336585453802</v>
      </c>
      <c r="Q50" s="122">
        <f t="shared" si="135"/>
        <v>0.4</v>
      </c>
      <c r="R50" s="118">
        <f t="shared" si="151"/>
        <v>3.5440116920590277</v>
      </c>
      <c r="S50" s="123">
        <f t="shared" si="152"/>
        <v>0.16250000000000001</v>
      </c>
      <c r="T50" s="117">
        <f t="shared" si="153"/>
        <v>9.0909090909090917</v>
      </c>
      <c r="U50" s="356"/>
      <c r="V50" s="131">
        <f t="shared" si="143"/>
        <v>1</v>
      </c>
      <c r="W50" s="318">
        <v>11.5</v>
      </c>
      <c r="X50" s="118">
        <f t="shared" si="136"/>
        <v>415.47562843725012</v>
      </c>
      <c r="Y50" s="157">
        <f t="shared" si="137"/>
        <v>104.84369483679336</v>
      </c>
      <c r="AK50" s="161">
        <v>5</v>
      </c>
      <c r="AL50" s="54" t="s">
        <v>165</v>
      </c>
      <c r="AM50" s="149">
        <f>Y64</f>
        <v>70.742748174315935</v>
      </c>
      <c r="AN50" s="149">
        <f>M64</f>
        <v>276.00084088897461</v>
      </c>
      <c r="AO50" s="149">
        <f t="shared" si="144"/>
        <v>19525.057982908173</v>
      </c>
      <c r="AP50" s="149">
        <f>W64</f>
        <v>14</v>
      </c>
      <c r="AQ50" s="149">
        <f t="shared" si="138"/>
        <v>615.75216010359941</v>
      </c>
      <c r="AR50" s="149">
        <f t="shared" si="130"/>
        <v>43560</v>
      </c>
      <c r="AS50" s="321"/>
      <c r="AT50" s="222">
        <v>3</v>
      </c>
      <c r="AU50" s="149">
        <f t="shared" si="131"/>
        <v>828.00252266692382</v>
      </c>
      <c r="AV50" s="149">
        <f t="shared" si="139"/>
        <v>1847.2564803107982</v>
      </c>
      <c r="AW50" s="172">
        <f t="shared" si="146"/>
        <v>42640.208768643541</v>
      </c>
      <c r="AY50" s="139">
        <f t="shared" si="112"/>
        <v>20</v>
      </c>
      <c r="AZ50" s="140">
        <f t="shared" si="92"/>
        <v>120</v>
      </c>
      <c r="BA50" s="143">
        <f t="shared" si="88"/>
        <v>103.74671797543498</v>
      </c>
      <c r="BB50" s="140">
        <f t="shared" si="93"/>
        <v>49</v>
      </c>
      <c r="BC50" s="143">
        <f t="shared" si="94"/>
        <v>2.4489795918367347</v>
      </c>
      <c r="BD50" s="140">
        <f t="shared" si="95"/>
        <v>0.9</v>
      </c>
      <c r="BE50" s="143">
        <f t="shared" si="89"/>
        <v>23.865320930539234</v>
      </c>
      <c r="BF50" s="143">
        <f t="shared" si="125"/>
        <v>48.84806334430295</v>
      </c>
      <c r="BG50" s="143">
        <f t="shared" si="126"/>
        <v>2.12386553063899</v>
      </c>
      <c r="BH50" s="143">
        <f t="shared" si="127"/>
        <v>113.40869696053768</v>
      </c>
      <c r="BI50" s="436">
        <f t="shared" si="99"/>
        <v>50.600346135368156</v>
      </c>
    </row>
    <row r="51" spans="1:61" ht="27" thickBot="1">
      <c r="A51" s="138" t="s">
        <v>12</v>
      </c>
      <c r="B51" s="114">
        <v>100</v>
      </c>
      <c r="C51" s="219">
        <v>0.09</v>
      </c>
      <c r="D51" s="117">
        <f t="shared" si="132"/>
        <v>0.14800000000000002</v>
      </c>
      <c r="E51" s="114">
        <f t="shared" si="147"/>
        <v>14.8</v>
      </c>
      <c r="F51" s="115">
        <f t="shared" si="133"/>
        <v>29.6</v>
      </c>
      <c r="G51" s="118">
        <f t="shared" si="134"/>
        <v>1.2333333333333334</v>
      </c>
      <c r="H51" s="119">
        <f t="shared" si="140"/>
        <v>7.7492618788548233</v>
      </c>
      <c r="I51" s="118">
        <f t="shared" si="148"/>
        <v>4.7787114919604745</v>
      </c>
      <c r="J51" s="219">
        <v>0.5</v>
      </c>
      <c r="K51" s="115">
        <f t="shared" si="149"/>
        <v>117</v>
      </c>
      <c r="L51" s="353">
        <f t="shared" si="141"/>
        <v>0.435</v>
      </c>
      <c r="M51" s="121">
        <f t="shared" si="150"/>
        <v>243.21252138332835</v>
      </c>
      <c r="N51" s="124">
        <f t="shared" si="142"/>
        <v>71.600731936342697</v>
      </c>
      <c r="O51" s="122">
        <f t="shared" si="128"/>
        <v>0.16745883753223573</v>
      </c>
      <c r="P51" s="122">
        <f t="shared" si="129"/>
        <v>0.56882220338677381</v>
      </c>
      <c r="Q51" s="122">
        <f t="shared" si="135"/>
        <v>0.5</v>
      </c>
      <c r="R51" s="118">
        <f t="shared" si="151"/>
        <v>3.580036596817135</v>
      </c>
      <c r="S51" s="123">
        <f t="shared" si="152"/>
        <v>0.14800000000000002</v>
      </c>
      <c r="T51" s="117">
        <f t="shared" si="153"/>
        <v>11.111111111111111</v>
      </c>
      <c r="U51" s="356"/>
      <c r="V51" s="131">
        <f t="shared" si="143"/>
        <v>1</v>
      </c>
      <c r="W51" s="318">
        <v>12.5</v>
      </c>
      <c r="X51" s="118">
        <f t="shared" si="136"/>
        <v>490.87385212340519</v>
      </c>
      <c r="Y51" s="157">
        <f t="shared" si="137"/>
        <v>88.739703309861895</v>
      </c>
      <c r="AK51" s="162">
        <v>6</v>
      </c>
      <c r="AL51" s="163" t="s">
        <v>165</v>
      </c>
      <c r="AM51" s="164">
        <f>Y78</f>
        <v>61.62479396518188</v>
      </c>
      <c r="AN51" s="164">
        <f>M78</f>
        <v>302.29459891623054</v>
      </c>
      <c r="AO51" s="164">
        <f>AM51*AN51</f>
        <v>18628.842375</v>
      </c>
      <c r="AP51" s="164">
        <f>W78</f>
        <v>15</v>
      </c>
      <c r="AQ51" s="164">
        <f>AP51^2*PI()</f>
        <v>706.85834705770344</v>
      </c>
      <c r="AR51" s="164">
        <f t="shared" si="130"/>
        <v>43560</v>
      </c>
      <c r="AS51" s="341"/>
      <c r="AT51" s="223">
        <v>1</v>
      </c>
      <c r="AU51" s="164">
        <f>AT51*AN51</f>
        <v>302.29459891623054</v>
      </c>
      <c r="AV51" s="164">
        <f>AT51*AQ51</f>
        <v>706.85834705770344</v>
      </c>
      <c r="AW51" s="173">
        <f t="shared" si="146"/>
        <v>43347.067115701248</v>
      </c>
    </row>
    <row r="52" spans="1:61" ht="25" thickBot="1">
      <c r="A52" s="138" t="s">
        <v>13</v>
      </c>
      <c r="B52" s="114">
        <v>120</v>
      </c>
      <c r="C52" s="219">
        <v>0.05</v>
      </c>
      <c r="D52" s="117">
        <f t="shared" si="132"/>
        <v>0.13166666666666668</v>
      </c>
      <c r="E52" s="114">
        <f t="shared" si="147"/>
        <v>15.8</v>
      </c>
      <c r="F52" s="115">
        <f t="shared" si="133"/>
        <v>31.6</v>
      </c>
      <c r="G52" s="118">
        <f t="shared" si="134"/>
        <v>1.3166666666666667</v>
      </c>
      <c r="H52" s="119">
        <f t="shared" si="140"/>
        <v>8.2728606544531225</v>
      </c>
      <c r="I52" s="118">
        <f t="shared" si="148"/>
        <v>5.4462999308483049</v>
      </c>
      <c r="J52" s="219">
        <v>0.4</v>
      </c>
      <c r="K52" s="115">
        <f t="shared" si="149"/>
        <v>125</v>
      </c>
      <c r="L52" s="353">
        <f t="shared" si="141"/>
        <v>0.435</v>
      </c>
      <c r="M52" s="121">
        <f t="shared" si="150"/>
        <v>296.14255873987656</v>
      </c>
      <c r="N52" s="118">
        <f t="shared" si="142"/>
        <v>52.930037356548212</v>
      </c>
      <c r="O52" s="122">
        <f t="shared" si="128"/>
        <v>0.12379206589879059</v>
      </c>
      <c r="P52" s="122">
        <f t="shared" si="129"/>
        <v>0.69261426928556435</v>
      </c>
      <c r="Q52" s="122">
        <f t="shared" si="135"/>
        <v>0.6</v>
      </c>
      <c r="R52" s="118">
        <f t="shared" si="151"/>
        <v>2.6465018678274106</v>
      </c>
      <c r="S52" s="123">
        <f t="shared" si="152"/>
        <v>0.13166666666666668</v>
      </c>
      <c r="T52" s="117">
        <f t="shared" si="153"/>
        <v>20</v>
      </c>
      <c r="U52" s="356"/>
      <c r="V52" s="131">
        <f t="shared" si="143"/>
        <v>1</v>
      </c>
      <c r="W52" s="318">
        <v>13.5</v>
      </c>
      <c r="X52" s="118">
        <f t="shared" si="136"/>
        <v>572.55526111673976</v>
      </c>
      <c r="Y52" s="157">
        <f t="shared" si="137"/>
        <v>76.079992549607255</v>
      </c>
      <c r="AM52" s="323">
        <f>SUM(AM46:AM51)</f>
        <v>648.74766488230046</v>
      </c>
      <c r="AR52" s="37"/>
      <c r="AS52" s="320"/>
      <c r="AT52" s="358">
        <v>128</v>
      </c>
      <c r="AU52" s="160">
        <f>SUM(AU46:AU51)</f>
        <v>12313.817231536344</v>
      </c>
      <c r="AV52" s="160">
        <f>AU52*12.5/2000</f>
        <v>76.961357697102159</v>
      </c>
    </row>
    <row r="53" spans="1:61" ht="25" thickBot="1">
      <c r="A53" s="138" t="s">
        <v>14</v>
      </c>
      <c r="B53" s="114">
        <v>140</v>
      </c>
      <c r="C53" s="219">
        <v>0.04</v>
      </c>
      <c r="D53" s="117">
        <f t="shared" si="132"/>
        <v>0.11857142857142858</v>
      </c>
      <c r="E53" s="114">
        <f t="shared" si="147"/>
        <v>16.600000000000001</v>
      </c>
      <c r="F53" s="115">
        <f t="shared" si="133"/>
        <v>33.200000000000003</v>
      </c>
      <c r="G53" s="118">
        <f t="shared" si="134"/>
        <v>1.3833333333333335</v>
      </c>
      <c r="H53" s="119">
        <f t="shared" si="140"/>
        <v>8.6917396749317621</v>
      </c>
      <c r="I53" s="118">
        <f t="shared" si="148"/>
        <v>6.0117866084944698</v>
      </c>
      <c r="J53" s="219">
        <v>0.35</v>
      </c>
      <c r="K53" s="115">
        <f t="shared" si="149"/>
        <v>132</v>
      </c>
      <c r="L53" s="353">
        <f t="shared" si="141"/>
        <v>0.435</v>
      </c>
      <c r="M53" s="121">
        <f t="shared" si="150"/>
        <v>345.19678705975247</v>
      </c>
      <c r="N53" s="118">
        <f t="shared" si="142"/>
        <v>49.054228319875904</v>
      </c>
      <c r="O53" s="122">
        <f t="shared" si="128"/>
        <v>0.11472737538200771</v>
      </c>
      <c r="P53" s="122">
        <f t="shared" si="129"/>
        <v>0.80734164466757208</v>
      </c>
      <c r="Q53" s="122">
        <f t="shared" si="135"/>
        <v>0.7</v>
      </c>
      <c r="R53" s="118">
        <f t="shared" si="151"/>
        <v>2.4527114159937953</v>
      </c>
      <c r="S53" s="123">
        <f t="shared" si="152"/>
        <v>0.11857142857142858</v>
      </c>
      <c r="T53" s="117">
        <f t="shared" si="153"/>
        <v>25</v>
      </c>
      <c r="U53" s="356"/>
      <c r="V53" s="131">
        <f t="shared" si="143"/>
        <v>1</v>
      </c>
      <c r="W53" s="318">
        <v>14.5</v>
      </c>
      <c r="X53" s="118">
        <f t="shared" si="136"/>
        <v>660.51985541725401</v>
      </c>
      <c r="Y53" s="157">
        <f t="shared" si="137"/>
        <v>65.948055372965143</v>
      </c>
      <c r="AM53" s="324">
        <f>AM52/6</f>
        <v>108.12461081371674</v>
      </c>
      <c r="AR53" s="37" t="s">
        <v>258</v>
      </c>
      <c r="AS53" s="320"/>
      <c r="AT53" s="325">
        <f>SUM(AT47:AT51)+IF(AT46&gt;0,AT46,0)</f>
        <v>128</v>
      </c>
      <c r="AU53" s="326">
        <f>SUM(AU47:AU51)+IF(AT46&gt;0,AU46,0)</f>
        <v>12313.817231536344</v>
      </c>
      <c r="AV53" s="160">
        <f>AU53*12.5/2000</f>
        <v>76.961357697102159</v>
      </c>
    </row>
    <row r="54" spans="1:61" ht="25" thickBot="1">
      <c r="A54" s="138" t="s">
        <v>15</v>
      </c>
      <c r="B54" s="114">
        <v>160</v>
      </c>
      <c r="C54" s="219">
        <v>0.03</v>
      </c>
      <c r="D54" s="117">
        <f t="shared" si="132"/>
        <v>0.10750000000000001</v>
      </c>
      <c r="E54" s="114">
        <f t="shared" si="147"/>
        <v>17.200000000000003</v>
      </c>
      <c r="F54" s="115">
        <f t="shared" si="133"/>
        <v>34.400000000000006</v>
      </c>
      <c r="G54" s="118">
        <f t="shared" si="134"/>
        <v>1.4333333333333336</v>
      </c>
      <c r="H54" s="119">
        <f t="shared" si="140"/>
        <v>9.0058989402907415</v>
      </c>
      <c r="I54" s="118">
        <f t="shared" si="148"/>
        <v>6.4542275738750323</v>
      </c>
      <c r="J54" s="219">
        <v>0.3</v>
      </c>
      <c r="K54" s="115">
        <f t="shared" si="149"/>
        <v>138</v>
      </c>
      <c r="L54" s="353">
        <f t="shared" si="141"/>
        <v>0.435</v>
      </c>
      <c r="M54" s="121">
        <f t="shared" si="150"/>
        <v>387.44728125971818</v>
      </c>
      <c r="N54" s="118">
        <f t="shared" si="142"/>
        <v>42.250494199965715</v>
      </c>
      <c r="O54" s="122">
        <f t="shared" si="128"/>
        <v>9.8814892704993801E-2</v>
      </c>
      <c r="P54" s="122">
        <f t="shared" si="129"/>
        <v>0.90615653737256585</v>
      </c>
      <c r="Q54" s="122">
        <f t="shared" si="135"/>
        <v>0.8</v>
      </c>
      <c r="R54" s="118">
        <f t="shared" si="151"/>
        <v>2.1125247099982856</v>
      </c>
      <c r="S54" s="123">
        <f t="shared" si="152"/>
        <v>0.10750000000000001</v>
      </c>
      <c r="T54" s="117">
        <f t="shared" si="153"/>
        <v>33.333333333333336</v>
      </c>
      <c r="U54" s="356"/>
      <c r="V54" s="131">
        <f t="shared" si="143"/>
        <v>1</v>
      </c>
      <c r="W54" s="318">
        <v>15.5</v>
      </c>
      <c r="X54" s="118">
        <f t="shared" si="136"/>
        <v>754.76763502494782</v>
      </c>
      <c r="Y54" s="157">
        <f t="shared" si="137"/>
        <v>57.713126502251498</v>
      </c>
      <c r="AR54" s="37" t="s">
        <v>262</v>
      </c>
      <c r="AS54" s="37"/>
      <c r="AT54" s="37"/>
      <c r="AU54" s="215">
        <f>AU53*R1*T1/100/2000</f>
        <v>76.961357697102159</v>
      </c>
    </row>
    <row r="55" spans="1:61" ht="25" thickBot="1">
      <c r="A55" s="138" t="s">
        <v>16</v>
      </c>
      <c r="B55" s="114">
        <v>180</v>
      </c>
      <c r="C55" s="219">
        <v>1.4999999999999999E-2</v>
      </c>
      <c r="D55" s="117">
        <f t="shared" si="132"/>
        <v>9.7222222222222238E-2</v>
      </c>
      <c r="E55" s="114">
        <f t="shared" si="147"/>
        <v>17.500000000000004</v>
      </c>
      <c r="F55" s="115">
        <f t="shared" si="133"/>
        <v>35.000000000000007</v>
      </c>
      <c r="G55" s="118">
        <f t="shared" si="134"/>
        <v>1.4583333333333337</v>
      </c>
      <c r="H55" s="119">
        <f t="shared" si="140"/>
        <v>9.162978572970232</v>
      </c>
      <c r="I55" s="118">
        <f t="shared" si="148"/>
        <v>6.6813385427907956</v>
      </c>
      <c r="J55" s="219">
        <v>0.15</v>
      </c>
      <c r="K55" s="115">
        <f t="shared" si="149"/>
        <v>141</v>
      </c>
      <c r="L55" s="353">
        <f t="shared" si="141"/>
        <v>0.435</v>
      </c>
      <c r="M55" s="121">
        <f t="shared" si="150"/>
        <v>409.79989952207342</v>
      </c>
      <c r="N55" s="118">
        <f t="shared" si="142"/>
        <v>22.352618262355236</v>
      </c>
      <c r="O55" s="122">
        <f t="shared" si="128"/>
        <v>5.2278005668206125E-2</v>
      </c>
      <c r="P55" s="122">
        <f t="shared" si="129"/>
        <v>0.95843454304077202</v>
      </c>
      <c r="Q55" s="122">
        <f t="shared" si="135"/>
        <v>0.9</v>
      </c>
      <c r="R55" s="118">
        <f t="shared" si="151"/>
        <v>1.1176309131177617</v>
      </c>
      <c r="S55" s="123">
        <f t="shared" si="152"/>
        <v>9.7222222222222238E-2</v>
      </c>
      <c r="T55" s="117">
        <f t="shared" si="153"/>
        <v>66.666666666666671</v>
      </c>
      <c r="U55" s="356"/>
      <c r="V55" s="131">
        <f t="shared" si="143"/>
        <v>1</v>
      </c>
      <c r="W55" s="318">
        <v>16.5</v>
      </c>
      <c r="X55" s="118">
        <f t="shared" si="136"/>
        <v>855.2985999398212</v>
      </c>
      <c r="Y55" s="157">
        <f t="shared" si="137"/>
        <v>50.929581789406505</v>
      </c>
      <c r="AR55" s="37" t="s">
        <v>263</v>
      </c>
      <c r="AS55" s="37"/>
      <c r="AT55" s="37"/>
      <c r="AU55" s="215">
        <f>AW55</f>
        <v>7.35</v>
      </c>
      <c r="AW55" s="38">
        <f>10*70*42*0.5/2000</f>
        <v>7.35</v>
      </c>
    </row>
    <row r="56" spans="1:61" ht="25" thickBot="1">
      <c r="A56" s="139" t="s">
        <v>17</v>
      </c>
      <c r="B56" s="140">
        <v>200</v>
      </c>
      <c r="C56" s="220">
        <v>1.2500000000000001E-2</v>
      </c>
      <c r="D56" s="141">
        <f t="shared" si="132"/>
        <v>8.8750000000000023E-2</v>
      </c>
      <c r="E56" s="140">
        <f t="shared" si="147"/>
        <v>17.750000000000004</v>
      </c>
      <c r="F56" s="142">
        <f t="shared" si="133"/>
        <v>35.500000000000007</v>
      </c>
      <c r="G56" s="143">
        <f t="shared" si="134"/>
        <v>1.479166666666667</v>
      </c>
      <c r="H56" s="144">
        <f t="shared" si="140"/>
        <v>9.2938782668698057</v>
      </c>
      <c r="I56" s="143">
        <f t="shared" si="148"/>
        <v>6.8735974682057952</v>
      </c>
      <c r="J56" s="220">
        <v>0.1</v>
      </c>
      <c r="K56" s="142">
        <f t="shared" si="149"/>
        <v>143</v>
      </c>
      <c r="L56" s="354">
        <f t="shared" si="141"/>
        <v>0.435</v>
      </c>
      <c r="M56" s="145">
        <f t="shared" si="150"/>
        <v>427.5721305097415</v>
      </c>
      <c r="N56" s="143">
        <f t="shared" si="142"/>
        <v>17.772230987668081</v>
      </c>
      <c r="O56" s="146">
        <f t="shared" si="128"/>
        <v>4.156545695922801E-2</v>
      </c>
      <c r="P56" s="146">
        <f t="shared" si="129"/>
        <v>1</v>
      </c>
      <c r="Q56" s="146">
        <f t="shared" si="135"/>
        <v>1</v>
      </c>
      <c r="R56" s="143">
        <f t="shared" si="151"/>
        <v>0.88861154938340403</v>
      </c>
      <c r="S56" s="147">
        <f t="shared" si="152"/>
        <v>8.8750000000000023E-2</v>
      </c>
      <c r="T56" s="141">
        <f t="shared" si="153"/>
        <v>80</v>
      </c>
      <c r="U56" s="357"/>
      <c r="V56" s="238">
        <f t="shared" si="143"/>
        <v>1</v>
      </c>
      <c r="W56" s="319">
        <v>17.5</v>
      </c>
      <c r="X56" s="143">
        <f t="shared" si="136"/>
        <v>962.11275016187415</v>
      </c>
      <c r="Y56" s="158">
        <f t="shared" si="137"/>
        <v>45.275358831562194</v>
      </c>
      <c r="AR56" s="37" t="s">
        <v>264</v>
      </c>
      <c r="AS56" s="37"/>
      <c r="AT56" s="37"/>
      <c r="AU56" s="215">
        <f>SUM(AU54:AU55)</f>
        <v>84.311357697102153</v>
      </c>
    </row>
    <row r="57" spans="1:61" ht="30" thickBot="1">
      <c r="R57" s="329">
        <f>AVERAGE(R47:R56)</f>
        <v>2.1378606525487078</v>
      </c>
      <c r="W57" s="225" t="s">
        <v>199</v>
      </c>
      <c r="X57" s="25"/>
      <c r="Y57" s="36"/>
    </row>
    <row r="58" spans="1:61" ht="27" thickBot="1">
      <c r="A58" s="257" t="s">
        <v>224</v>
      </c>
      <c r="B58" s="25"/>
      <c r="C58" s="25"/>
      <c r="D58" s="36"/>
      <c r="E58" s="243"/>
      <c r="F58" s="170"/>
      <c r="G58" s="166"/>
      <c r="H58" s="37" t="s">
        <v>282</v>
      </c>
      <c r="W58" s="167"/>
      <c r="X58" s="171"/>
      <c r="Y58" s="168"/>
      <c r="AK58" s="257" t="s">
        <v>212</v>
      </c>
      <c r="AL58" s="258"/>
      <c r="AM58" s="258"/>
      <c r="AN58" s="258"/>
      <c r="AO58" s="259"/>
    </row>
    <row r="59" spans="1:61" ht="132">
      <c r="A59" s="132" t="s">
        <v>1</v>
      </c>
      <c r="B59" s="133" t="s">
        <v>4</v>
      </c>
      <c r="C59" s="133" t="s">
        <v>10</v>
      </c>
      <c r="D59" s="133" t="s">
        <v>172</v>
      </c>
      <c r="E59" s="133" t="s">
        <v>173</v>
      </c>
      <c r="F59" s="134" t="s">
        <v>163</v>
      </c>
      <c r="G59" s="133" t="s">
        <v>174</v>
      </c>
      <c r="H59" s="133" t="s">
        <v>7</v>
      </c>
      <c r="I59" s="133" t="s">
        <v>5</v>
      </c>
      <c r="J59" s="133" t="s">
        <v>175</v>
      </c>
      <c r="K59" s="134" t="s">
        <v>8</v>
      </c>
      <c r="L59" s="135" t="s">
        <v>166</v>
      </c>
      <c r="M59" s="136" t="s">
        <v>6</v>
      </c>
      <c r="N59" s="133" t="s">
        <v>176</v>
      </c>
      <c r="O59" s="133" t="s">
        <v>177</v>
      </c>
      <c r="P59" s="133" t="s">
        <v>167</v>
      </c>
      <c r="Q59" s="133" t="s">
        <v>168</v>
      </c>
      <c r="R59" s="133" t="s">
        <v>9</v>
      </c>
      <c r="S59" s="133" t="s">
        <v>178</v>
      </c>
      <c r="T59" s="133" t="s">
        <v>179</v>
      </c>
      <c r="U59" s="136" t="s">
        <v>170</v>
      </c>
      <c r="V59" s="156" t="s">
        <v>171</v>
      </c>
      <c r="W59" s="242" t="s">
        <v>181</v>
      </c>
      <c r="X59" s="237" t="s">
        <v>180</v>
      </c>
      <c r="Y59" s="239" t="s">
        <v>182</v>
      </c>
      <c r="AK59" s="155" t="s">
        <v>183</v>
      </c>
      <c r="AL59" s="133" t="s">
        <v>185</v>
      </c>
      <c r="AM59" s="133" t="s">
        <v>184</v>
      </c>
      <c r="AN59" s="133" t="s">
        <v>265</v>
      </c>
      <c r="AO59" s="133" t="s">
        <v>266</v>
      </c>
      <c r="AP59" s="133" t="s">
        <v>267</v>
      </c>
      <c r="AQ59" s="133" t="s">
        <v>268</v>
      </c>
      <c r="AR59" s="133" t="s">
        <v>269</v>
      </c>
      <c r="AS59" s="133" t="s">
        <v>259</v>
      </c>
      <c r="AT59" s="133" t="s">
        <v>270</v>
      </c>
      <c r="AU59" s="133" t="s">
        <v>271</v>
      </c>
      <c r="AV59" s="133" t="s">
        <v>272</v>
      </c>
      <c r="AW59" s="156" t="s">
        <v>273</v>
      </c>
    </row>
    <row r="60" spans="1:61">
      <c r="A60" s="137" t="s">
        <v>3</v>
      </c>
      <c r="B60" s="114">
        <v>0</v>
      </c>
      <c r="C60" s="219">
        <v>0</v>
      </c>
      <c r="D60" s="114">
        <v>0</v>
      </c>
      <c r="E60" s="114">
        <v>0</v>
      </c>
      <c r="F60" s="115">
        <f>E60*2</f>
        <v>0</v>
      </c>
      <c r="G60" s="114">
        <v>0</v>
      </c>
      <c r="H60" s="116">
        <v>0</v>
      </c>
      <c r="I60" s="114">
        <v>0</v>
      </c>
      <c r="J60" s="219">
        <v>0</v>
      </c>
      <c r="K60" s="115">
        <v>0</v>
      </c>
      <c r="L60" s="353">
        <v>0</v>
      </c>
      <c r="M60" s="120">
        <v>0</v>
      </c>
      <c r="N60" s="114">
        <v>0</v>
      </c>
      <c r="O60" s="114">
        <f>N60/$M$56</f>
        <v>0</v>
      </c>
      <c r="P60" s="114">
        <f>M60/$M$56</f>
        <v>0</v>
      </c>
      <c r="Q60" s="114">
        <v>0</v>
      </c>
      <c r="R60" s="114">
        <v>0</v>
      </c>
      <c r="S60" s="114">
        <v>0</v>
      </c>
      <c r="T60" s="114">
        <v>0</v>
      </c>
      <c r="U60" s="355">
        <v>0</v>
      </c>
      <c r="V60" s="244">
        <v>0</v>
      </c>
      <c r="W60" s="318"/>
      <c r="X60" s="240"/>
      <c r="Y60" s="241"/>
      <c r="AK60" s="161">
        <v>1</v>
      </c>
      <c r="AL60" s="186" t="s">
        <v>12</v>
      </c>
      <c r="AM60" s="149">
        <f>Y9</f>
        <v>153.63522041181079</v>
      </c>
      <c r="AN60" s="149">
        <f>M9</f>
        <v>74.738201249574615</v>
      </c>
      <c r="AO60" s="149">
        <f>AM60*AN60</f>
        <v>11482.420022160668</v>
      </c>
      <c r="AP60" s="149">
        <f>W9</f>
        <v>9.5</v>
      </c>
      <c r="AQ60" s="149">
        <f>AP60^2*PI()</f>
        <v>283.5287369864788</v>
      </c>
      <c r="AR60" s="149">
        <f>AM60*AQ60</f>
        <v>43560</v>
      </c>
      <c r="AS60" s="321"/>
      <c r="AT60" s="222">
        <f>AT66-SUM(AT61:AT65)</f>
        <v>39.599999999999994</v>
      </c>
      <c r="AU60" s="149">
        <f t="shared" ref="AU60:AU64" si="154">AT60*AN60</f>
        <v>2959.6327694831543</v>
      </c>
      <c r="AV60" s="149">
        <f>AT60*AQ60</f>
        <v>11227.73798466456</v>
      </c>
      <c r="AW60" s="172">
        <f>AV60</f>
        <v>11227.73798466456</v>
      </c>
    </row>
    <row r="61" spans="1:61" ht="24">
      <c r="A61" s="138" t="s">
        <v>2</v>
      </c>
      <c r="B61" s="114">
        <v>20</v>
      </c>
      <c r="C61" s="219">
        <v>0.2</v>
      </c>
      <c r="D61" s="117">
        <f t="shared" ref="D61:D70" si="155">E61/B61</f>
        <v>0.2</v>
      </c>
      <c r="E61" s="114">
        <f>B61*C61</f>
        <v>4</v>
      </c>
      <c r="F61" s="115">
        <f t="shared" ref="F61:F70" si="156">E61*2</f>
        <v>8</v>
      </c>
      <c r="G61" s="118">
        <f t="shared" ref="G61:G70" si="157">E61/12</f>
        <v>0.33333333333333331</v>
      </c>
      <c r="H61" s="119">
        <f>PI()*2*G61</f>
        <v>2.0943951023931953</v>
      </c>
      <c r="I61" s="118">
        <f>PI()*G61^2</f>
        <v>0.3490658503988659</v>
      </c>
      <c r="J61" s="219">
        <v>1.1499999999999999</v>
      </c>
      <c r="K61" s="115">
        <f>B61*J61</f>
        <v>23</v>
      </c>
      <c r="L61" s="353">
        <f>$V$1</f>
        <v>0.435</v>
      </c>
      <c r="M61" s="121">
        <f>I61*K61*L61</f>
        <v>3.4924038332406533</v>
      </c>
      <c r="N61" s="118">
        <f>M61-M60</f>
        <v>3.4924038332406533</v>
      </c>
      <c r="O61" s="122">
        <f t="shared" ref="O61:O70" si="158">N61/$M$70</f>
        <v>4.6173892726965454E-3</v>
      </c>
      <c r="P61" s="122">
        <f t="shared" ref="P61:P70" si="159">M61/$M$70</f>
        <v>4.6173892726965454E-3</v>
      </c>
      <c r="Q61" s="122">
        <f t="shared" ref="Q61:Q70" si="160">B61/$B$70</f>
        <v>0.1</v>
      </c>
      <c r="R61" s="118">
        <f>N61/(B61-B60)</f>
        <v>0.17462019166203266</v>
      </c>
      <c r="S61" s="123">
        <f>E61/B61</f>
        <v>0.2</v>
      </c>
      <c r="T61" s="117">
        <f>1/C61</f>
        <v>5</v>
      </c>
      <c r="U61" s="356"/>
      <c r="V61" s="245">
        <f>(M61-U61)/M61</f>
        <v>1</v>
      </c>
      <c r="W61" s="318">
        <v>9</v>
      </c>
      <c r="X61" s="118">
        <f t="shared" ref="X61:X70" si="161">PI()*W61^2</f>
        <v>254.46900494077323</v>
      </c>
      <c r="Y61" s="157">
        <f t="shared" ref="Y61:Y70" si="162">43560/X61</f>
        <v>171.17998323661632</v>
      </c>
      <c r="AK61" s="161">
        <v>2</v>
      </c>
      <c r="AL61" s="54" t="s">
        <v>12</v>
      </c>
      <c r="AM61" s="149">
        <f>Y23</f>
        <v>104.84369483679336</v>
      </c>
      <c r="AN61" s="149">
        <f>M23</f>
        <v>117.52698117079416</v>
      </c>
      <c r="AO61" s="149">
        <f>AM61*AN61</f>
        <v>12321.962948960301</v>
      </c>
      <c r="AP61" s="149">
        <f>W23</f>
        <v>11.5</v>
      </c>
      <c r="AQ61" s="149">
        <f t="shared" ref="AQ61:AQ64" si="163">AP61^2*PI()</f>
        <v>415.47562843725012</v>
      </c>
      <c r="AR61" s="149">
        <f>AM61*AQ61</f>
        <v>43560</v>
      </c>
      <c r="AS61" s="321">
        <v>0.2</v>
      </c>
      <c r="AT61" s="222">
        <f>AS61*$AT$66</f>
        <v>21.8</v>
      </c>
      <c r="AU61" s="149">
        <f t="shared" si="154"/>
        <v>2562.0881895233128</v>
      </c>
      <c r="AV61" s="149">
        <f t="shared" ref="AV61:AV64" si="164">AT61*AQ61</f>
        <v>9057.3686999320526</v>
      </c>
      <c r="AW61" s="172">
        <f>AV61+AW60</f>
        <v>20285.106684596612</v>
      </c>
    </row>
    <row r="62" spans="1:61" ht="24">
      <c r="A62" s="138" t="s">
        <v>11</v>
      </c>
      <c r="B62" s="114">
        <v>40</v>
      </c>
      <c r="C62" s="219">
        <v>0.28000000000000003</v>
      </c>
      <c r="D62" s="117">
        <f t="shared" si="155"/>
        <v>0.24000000000000005</v>
      </c>
      <c r="E62" s="114">
        <f>(B62-B61)*C62+E61</f>
        <v>9.6000000000000014</v>
      </c>
      <c r="F62" s="115">
        <f t="shared" si="156"/>
        <v>19.200000000000003</v>
      </c>
      <c r="G62" s="118">
        <f t="shared" si="157"/>
        <v>0.80000000000000016</v>
      </c>
      <c r="H62" s="119">
        <f t="shared" ref="H62:H70" si="165">PI()*2*G62</f>
        <v>5.0265482457436699</v>
      </c>
      <c r="I62" s="118">
        <f>PI()*G62^2</f>
        <v>2.0106192982974682</v>
      </c>
      <c r="J62" s="219">
        <v>2.25</v>
      </c>
      <c r="K62" s="115">
        <f>(B62-B61)*J62+K61</f>
        <v>68</v>
      </c>
      <c r="L62" s="353">
        <f t="shared" ref="L62:L70" si="166">$V$1</f>
        <v>0.435</v>
      </c>
      <c r="M62" s="121">
        <f>I62*K62*L62</f>
        <v>59.474118843639111</v>
      </c>
      <c r="N62" s="118">
        <f>M62</f>
        <v>59.474118843639111</v>
      </c>
      <c r="O62" s="122">
        <f t="shared" si="158"/>
        <v>7.8632131753468851E-2</v>
      </c>
      <c r="P62" s="122">
        <f t="shared" si="159"/>
        <v>7.8632131753468851E-2</v>
      </c>
      <c r="Q62" s="122">
        <f t="shared" si="160"/>
        <v>0.2</v>
      </c>
      <c r="R62" s="118">
        <f>N62/(B62-B61)</f>
        <v>2.9737059421819554</v>
      </c>
      <c r="S62" s="123">
        <f>E62/B62</f>
        <v>0.24000000000000005</v>
      </c>
      <c r="T62" s="117">
        <f>1/C62</f>
        <v>3.5714285714285712</v>
      </c>
      <c r="U62" s="356"/>
      <c r="V62" s="245">
        <f>(M62-U62)/M62</f>
        <v>1</v>
      </c>
      <c r="W62" s="318">
        <v>10</v>
      </c>
      <c r="X62" s="118">
        <f t="shared" si="161"/>
        <v>314.15926535897933</v>
      </c>
      <c r="Y62" s="157">
        <f t="shared" si="162"/>
        <v>138.65578642165923</v>
      </c>
      <c r="AK62" s="161">
        <v>3</v>
      </c>
      <c r="AL62" s="54" t="s">
        <v>12</v>
      </c>
      <c r="AM62" s="149">
        <f>Y37</f>
        <v>96.288740570596687</v>
      </c>
      <c r="AN62" s="149">
        <f>+M37</f>
        <v>163.43235190406872</v>
      </c>
      <c r="AO62" s="149">
        <f t="shared" ref="AO62:AO64" si="167">AM62*AN62</f>
        <v>15736.695333333337</v>
      </c>
      <c r="AP62" s="149">
        <f>W37</f>
        <v>12</v>
      </c>
      <c r="AQ62" s="149">
        <f t="shared" si="163"/>
        <v>452.38934211693021</v>
      </c>
      <c r="AR62" s="149">
        <f>AM62*AQ62</f>
        <v>43560</v>
      </c>
      <c r="AS62" s="321">
        <v>0.3</v>
      </c>
      <c r="AT62" s="222">
        <f t="shared" ref="AT62:AT63" si="168">AS62*$AT$66</f>
        <v>32.699999999999996</v>
      </c>
      <c r="AU62" s="149">
        <f t="shared" si="154"/>
        <v>5344.2379072630465</v>
      </c>
      <c r="AV62" s="149">
        <f t="shared" si="164"/>
        <v>14793.131487223616</v>
      </c>
      <c r="AW62" s="172">
        <f t="shared" ref="AW62:AW65" si="169">AV62+AW61</f>
        <v>35078.23817182023</v>
      </c>
    </row>
    <row r="63" spans="1:61" ht="24">
      <c r="A63" s="138" t="s">
        <v>164</v>
      </c>
      <c r="B63" s="114">
        <v>60</v>
      </c>
      <c r="C63" s="219">
        <v>0.2</v>
      </c>
      <c r="D63" s="117">
        <f t="shared" si="155"/>
        <v>0.22666666666666668</v>
      </c>
      <c r="E63" s="114">
        <f>(B63-B62)*C63+E62</f>
        <v>13.600000000000001</v>
      </c>
      <c r="F63" s="115">
        <f t="shared" si="156"/>
        <v>27.200000000000003</v>
      </c>
      <c r="G63" s="118">
        <f t="shared" si="157"/>
        <v>1.1333333333333335</v>
      </c>
      <c r="H63" s="119">
        <f t="shared" si="165"/>
        <v>7.1209433481368656</v>
      </c>
      <c r="I63" s="118">
        <f>PI()*G63^2</f>
        <v>4.0352012306108911</v>
      </c>
      <c r="J63" s="219">
        <v>1.2</v>
      </c>
      <c r="K63" s="115">
        <f>(B63-B62)*J63+K62</f>
        <v>92</v>
      </c>
      <c r="L63" s="353">
        <f t="shared" si="166"/>
        <v>0.435</v>
      </c>
      <c r="M63" s="121">
        <f>I63*K63*L63</f>
        <v>161.48875324904785</v>
      </c>
      <c r="N63" s="118">
        <f>M63-M62</f>
        <v>102.01463440540874</v>
      </c>
      <c r="O63" s="122">
        <f t="shared" si="158"/>
        <v>0.13487594821601948</v>
      </c>
      <c r="P63" s="122">
        <f t="shared" si="159"/>
        <v>0.21350807996948834</v>
      </c>
      <c r="Q63" s="122">
        <f t="shared" si="160"/>
        <v>0.3</v>
      </c>
      <c r="R63" s="118">
        <f>N63/(B63-B62)</f>
        <v>5.1007317202704368</v>
      </c>
      <c r="S63" s="123">
        <f>E63/B63</f>
        <v>0.22666666666666668</v>
      </c>
      <c r="T63" s="117">
        <f>1/C63</f>
        <v>5</v>
      </c>
      <c r="U63" s="356"/>
      <c r="V63" s="245">
        <f>(M63-U63)/M63</f>
        <v>1</v>
      </c>
      <c r="W63" s="318">
        <v>12</v>
      </c>
      <c r="X63" s="118">
        <f t="shared" si="161"/>
        <v>452.38934211693021</v>
      </c>
      <c r="Y63" s="157">
        <f t="shared" si="162"/>
        <v>96.288740570596687</v>
      </c>
      <c r="AK63" s="161">
        <v>4</v>
      </c>
      <c r="AL63" s="54" t="s">
        <v>12</v>
      </c>
      <c r="AM63" s="149">
        <f>Y51</f>
        <v>88.739703309861895</v>
      </c>
      <c r="AN63" s="149">
        <f>M51</f>
        <v>243.21252138332835</v>
      </c>
      <c r="AO63" s="149">
        <f t="shared" si="167"/>
        <v>21582.606988799998</v>
      </c>
      <c r="AP63" s="149">
        <f>W51</f>
        <v>12.5</v>
      </c>
      <c r="AQ63" s="149">
        <f t="shared" si="163"/>
        <v>490.87385212340519</v>
      </c>
      <c r="AR63" s="149">
        <f t="shared" ref="AR63:AR64" si="170">AM63*AQ63</f>
        <v>43560</v>
      </c>
      <c r="AS63" s="321">
        <v>0.1</v>
      </c>
      <c r="AT63" s="222">
        <f t="shared" si="168"/>
        <v>10.9</v>
      </c>
      <c r="AU63" s="149">
        <f t="shared" si="154"/>
        <v>2651.0164830782792</v>
      </c>
      <c r="AV63" s="149">
        <f t="shared" si="164"/>
        <v>5350.5249881451164</v>
      </c>
      <c r="AW63" s="172">
        <f t="shared" si="169"/>
        <v>40428.763159965347</v>
      </c>
    </row>
    <row r="64" spans="1:61" ht="24">
      <c r="A64" s="138" t="s">
        <v>165</v>
      </c>
      <c r="B64" s="114">
        <v>80</v>
      </c>
      <c r="C64" s="219">
        <v>0.13300000000000001</v>
      </c>
      <c r="D64" s="117">
        <f t="shared" si="155"/>
        <v>0.20325000000000001</v>
      </c>
      <c r="E64" s="114">
        <f t="shared" ref="E64:E70" si="171">(B64-B63)*C64+E63</f>
        <v>16.260000000000002</v>
      </c>
      <c r="F64" s="115">
        <f t="shared" si="156"/>
        <v>32.520000000000003</v>
      </c>
      <c r="G64" s="118">
        <f t="shared" si="157"/>
        <v>1.3550000000000002</v>
      </c>
      <c r="H64" s="119">
        <f t="shared" si="165"/>
        <v>8.5137160912283409</v>
      </c>
      <c r="I64" s="118">
        <f t="shared" ref="I64:I70" si="172">PI()*G64^2</f>
        <v>5.7680426518072014</v>
      </c>
      <c r="J64" s="219">
        <v>0.9</v>
      </c>
      <c r="K64" s="115">
        <f t="shared" ref="K64:K70" si="173">(B64-B63)*J64+K63</f>
        <v>110</v>
      </c>
      <c r="L64" s="353">
        <f t="shared" si="166"/>
        <v>0.435</v>
      </c>
      <c r="M64" s="121">
        <f t="shared" ref="M64:M70" si="174">I64*K64*L64</f>
        <v>276.00084088897461</v>
      </c>
      <c r="N64" s="118">
        <f t="shared" ref="N64:N70" si="175">M64-M63</f>
        <v>114.51208763992676</v>
      </c>
      <c r="O64" s="122">
        <f t="shared" si="158"/>
        <v>0.15139912516132262</v>
      </c>
      <c r="P64" s="122">
        <f t="shared" si="159"/>
        <v>0.36490720513081093</v>
      </c>
      <c r="Q64" s="122">
        <f t="shared" si="160"/>
        <v>0.4</v>
      </c>
      <c r="R64" s="118">
        <f t="shared" ref="R64:R70" si="176">N64/(B64-B63)</f>
        <v>5.7256043819963383</v>
      </c>
      <c r="S64" s="123">
        <f t="shared" ref="S64:S70" si="177">E64/B64</f>
        <v>0.20325000000000001</v>
      </c>
      <c r="T64" s="117">
        <f t="shared" ref="T64:T70" si="178">1/C64</f>
        <v>7.518796992481203</v>
      </c>
      <c r="U64" s="356"/>
      <c r="V64" s="245">
        <f t="shared" ref="V64:V70" si="179">(M64-U64)/M64</f>
        <v>1</v>
      </c>
      <c r="W64" s="318">
        <v>14</v>
      </c>
      <c r="X64" s="118">
        <f t="shared" si="161"/>
        <v>615.75216010359941</v>
      </c>
      <c r="Y64" s="157">
        <f t="shared" si="162"/>
        <v>70.742748174315935</v>
      </c>
      <c r="AK64" s="161">
        <v>5</v>
      </c>
      <c r="AL64" s="54" t="s">
        <v>12</v>
      </c>
      <c r="AM64" s="149">
        <f>Y65</f>
        <v>54.16241657096063</v>
      </c>
      <c r="AN64" s="149">
        <f>M65</f>
        <v>398.70228905401399</v>
      </c>
      <c r="AO64" s="149">
        <f t="shared" si="167"/>
        <v>21594.679467539063</v>
      </c>
      <c r="AP64" s="149">
        <f>W65</f>
        <v>16</v>
      </c>
      <c r="AQ64" s="149">
        <f t="shared" si="163"/>
        <v>804.24771931898704</v>
      </c>
      <c r="AR64" s="149">
        <f t="shared" si="170"/>
        <v>43560</v>
      </c>
      <c r="AS64" s="321"/>
      <c r="AT64" s="222">
        <v>3</v>
      </c>
      <c r="AU64" s="149">
        <f t="shared" si="154"/>
        <v>1196.1068671620419</v>
      </c>
      <c r="AV64" s="149">
        <f t="shared" si="164"/>
        <v>2412.7431579569611</v>
      </c>
      <c r="AW64" s="172">
        <f t="shared" si="169"/>
        <v>42841.506317922307</v>
      </c>
    </row>
    <row r="65" spans="1:52" ht="27" thickBot="1">
      <c r="A65" s="138" t="s">
        <v>12</v>
      </c>
      <c r="B65" s="114">
        <v>100</v>
      </c>
      <c r="C65" s="219">
        <v>0.1</v>
      </c>
      <c r="D65" s="117">
        <f t="shared" si="155"/>
        <v>0.18260000000000001</v>
      </c>
      <c r="E65" s="114">
        <f t="shared" si="171"/>
        <v>18.260000000000002</v>
      </c>
      <c r="F65" s="115">
        <f t="shared" si="156"/>
        <v>36.520000000000003</v>
      </c>
      <c r="G65" s="118">
        <f t="shared" si="157"/>
        <v>1.5216666666666667</v>
      </c>
      <c r="H65" s="119">
        <f t="shared" si="165"/>
        <v>9.5609136424249375</v>
      </c>
      <c r="I65" s="118">
        <f t="shared" si="172"/>
        <v>7.2742617962783065</v>
      </c>
      <c r="J65" s="219">
        <v>0.8</v>
      </c>
      <c r="K65" s="115">
        <f t="shared" si="173"/>
        <v>126</v>
      </c>
      <c r="L65" s="353">
        <f t="shared" si="166"/>
        <v>0.435</v>
      </c>
      <c r="M65" s="121">
        <f t="shared" si="174"/>
        <v>398.70228905401399</v>
      </c>
      <c r="N65" s="124">
        <f t="shared" si="175"/>
        <v>122.70144816503938</v>
      </c>
      <c r="O65" s="122">
        <f t="shared" si="158"/>
        <v>0.16222647138027688</v>
      </c>
      <c r="P65" s="122">
        <f t="shared" si="159"/>
        <v>0.52713367651108778</v>
      </c>
      <c r="Q65" s="122">
        <f t="shared" si="160"/>
        <v>0.5</v>
      </c>
      <c r="R65" s="118">
        <f t="shared" si="176"/>
        <v>6.1350724082519692</v>
      </c>
      <c r="S65" s="123">
        <f t="shared" si="177"/>
        <v>0.18260000000000001</v>
      </c>
      <c r="T65" s="117">
        <f t="shared" si="178"/>
        <v>10</v>
      </c>
      <c r="U65" s="356"/>
      <c r="V65" s="245">
        <f t="shared" si="179"/>
        <v>1</v>
      </c>
      <c r="W65" s="318">
        <v>16</v>
      </c>
      <c r="X65" s="118">
        <f t="shared" si="161"/>
        <v>804.24771931898704</v>
      </c>
      <c r="Y65" s="157">
        <f t="shared" si="162"/>
        <v>54.16241657096063</v>
      </c>
      <c r="AK65" s="162">
        <v>6</v>
      </c>
      <c r="AL65" s="163" t="s">
        <v>12</v>
      </c>
      <c r="AM65" s="164">
        <f>Y79</f>
        <v>47.977780768740217</v>
      </c>
      <c r="AN65" s="164">
        <f>M79</f>
        <v>448.80236325484708</v>
      </c>
      <c r="AO65" s="164">
        <f>AM65*AN65</f>
        <v>21532.541392733565</v>
      </c>
      <c r="AP65" s="164">
        <f>W79</f>
        <v>17</v>
      </c>
      <c r="AQ65" s="164">
        <f>AP65^2*PI()</f>
        <v>907.9202768874502</v>
      </c>
      <c r="AR65" s="164">
        <f>AM65*AQ65</f>
        <v>43560</v>
      </c>
      <c r="AS65" s="341"/>
      <c r="AT65" s="223">
        <v>1</v>
      </c>
      <c r="AU65" s="164">
        <f>AT65*AN65</f>
        <v>448.80236325484708</v>
      </c>
      <c r="AV65" s="164">
        <f>AT65*AQ65</f>
        <v>907.9202768874502</v>
      </c>
      <c r="AW65" s="173">
        <f t="shared" si="169"/>
        <v>43749.42659480976</v>
      </c>
    </row>
    <row r="66" spans="1:52" ht="25" thickBot="1">
      <c r="A66" s="138" t="s">
        <v>13</v>
      </c>
      <c r="B66" s="114">
        <v>120</v>
      </c>
      <c r="C66" s="219">
        <v>7.0000000000000007E-2</v>
      </c>
      <c r="D66" s="117">
        <f t="shared" si="155"/>
        <v>0.16383333333333333</v>
      </c>
      <c r="E66" s="114">
        <f t="shared" si="171"/>
        <v>19.66</v>
      </c>
      <c r="F66" s="115">
        <f t="shared" si="156"/>
        <v>39.32</v>
      </c>
      <c r="G66" s="118">
        <f t="shared" si="157"/>
        <v>1.6383333333333334</v>
      </c>
      <c r="H66" s="119">
        <f t="shared" si="165"/>
        <v>10.293951928262556</v>
      </c>
      <c r="I66" s="118">
        <f t="shared" si="172"/>
        <v>8.4324622879017443</v>
      </c>
      <c r="J66" s="219">
        <v>0.75</v>
      </c>
      <c r="K66" s="115">
        <f t="shared" si="173"/>
        <v>141</v>
      </c>
      <c r="L66" s="353">
        <f t="shared" si="166"/>
        <v>0.435</v>
      </c>
      <c r="M66" s="121">
        <f t="shared" si="174"/>
        <v>517.20507442845349</v>
      </c>
      <c r="N66" s="118">
        <f t="shared" si="175"/>
        <v>118.5027853744395</v>
      </c>
      <c r="O66" s="122">
        <f t="shared" si="158"/>
        <v>0.15667532052410665</v>
      </c>
      <c r="P66" s="122">
        <f t="shared" si="159"/>
        <v>0.68380899703519449</v>
      </c>
      <c r="Q66" s="122">
        <f t="shared" si="160"/>
        <v>0.6</v>
      </c>
      <c r="R66" s="118">
        <f t="shared" si="176"/>
        <v>5.925139268721975</v>
      </c>
      <c r="S66" s="123">
        <f t="shared" si="177"/>
        <v>0.16383333333333333</v>
      </c>
      <c r="T66" s="117">
        <f t="shared" si="178"/>
        <v>14.285714285714285</v>
      </c>
      <c r="U66" s="356"/>
      <c r="V66" s="245">
        <f t="shared" si="179"/>
        <v>1</v>
      </c>
      <c r="W66" s="318">
        <v>18</v>
      </c>
      <c r="X66" s="118">
        <f t="shared" si="161"/>
        <v>1017.8760197630929</v>
      </c>
      <c r="Y66" s="157">
        <f t="shared" si="162"/>
        <v>42.794995809154081</v>
      </c>
      <c r="AM66" s="323">
        <f>SUM(AM60:AM65)</f>
        <v>545.64755646876358</v>
      </c>
      <c r="AR66" s="37"/>
      <c r="AS66" s="320"/>
      <c r="AT66" s="358">
        <v>109</v>
      </c>
      <c r="AU66" s="160">
        <f>SUM(AU60:AU65)</f>
        <v>15161.884579764681</v>
      </c>
      <c r="AV66" s="160">
        <f>AU66*12.5/2000</f>
        <v>94.761778623529253</v>
      </c>
      <c r="AY66">
        <f>(AU66-AU52)/20*24*0.48/2000</f>
        <v>0.82024339628976073</v>
      </c>
    </row>
    <row r="67" spans="1:52" ht="25" thickBot="1">
      <c r="A67" s="138" t="s">
        <v>14</v>
      </c>
      <c r="B67" s="114">
        <v>140</v>
      </c>
      <c r="C67" s="219">
        <v>0.04</v>
      </c>
      <c r="D67" s="117">
        <f t="shared" si="155"/>
        <v>0.14614285714285716</v>
      </c>
      <c r="E67" s="114">
        <f t="shared" si="171"/>
        <v>20.46</v>
      </c>
      <c r="F67" s="115">
        <f t="shared" si="156"/>
        <v>40.92</v>
      </c>
      <c r="G67" s="118">
        <f t="shared" si="157"/>
        <v>1.7050000000000001</v>
      </c>
      <c r="H67" s="119">
        <f t="shared" si="165"/>
        <v>10.712830948741194</v>
      </c>
      <c r="I67" s="118">
        <f t="shared" si="172"/>
        <v>9.1326883838018702</v>
      </c>
      <c r="J67" s="219">
        <v>0.7</v>
      </c>
      <c r="K67" s="115">
        <f t="shared" si="173"/>
        <v>155</v>
      </c>
      <c r="L67" s="353">
        <f t="shared" si="166"/>
        <v>0.435</v>
      </c>
      <c r="M67" s="121">
        <f t="shared" si="174"/>
        <v>615.77151427784111</v>
      </c>
      <c r="N67" s="118">
        <f t="shared" si="175"/>
        <v>98.566439849387621</v>
      </c>
      <c r="O67" s="122">
        <f t="shared" si="158"/>
        <v>0.13031700906883367</v>
      </c>
      <c r="P67" s="122">
        <f t="shared" si="159"/>
        <v>0.81412600610402819</v>
      </c>
      <c r="Q67" s="122">
        <f t="shared" si="160"/>
        <v>0.7</v>
      </c>
      <c r="R67" s="118">
        <f t="shared" si="176"/>
        <v>4.9283219924693809</v>
      </c>
      <c r="S67" s="123">
        <f t="shared" si="177"/>
        <v>0.14614285714285716</v>
      </c>
      <c r="T67" s="117">
        <f t="shared" si="178"/>
        <v>25</v>
      </c>
      <c r="U67" s="356"/>
      <c r="V67" s="245">
        <f t="shared" si="179"/>
        <v>1</v>
      </c>
      <c r="W67" s="318">
        <v>20</v>
      </c>
      <c r="X67" s="118">
        <f t="shared" si="161"/>
        <v>1256.6370614359173</v>
      </c>
      <c r="Y67" s="157">
        <f t="shared" si="162"/>
        <v>34.663946605414807</v>
      </c>
      <c r="AM67" s="324">
        <f>AM66/6</f>
        <v>90.941259411460592</v>
      </c>
      <c r="AR67" s="37" t="s">
        <v>258</v>
      </c>
      <c r="AS67" s="320"/>
      <c r="AT67" s="325">
        <f>SUM(AT61:AT65)+IF(AT60&gt;0,AT60,0)</f>
        <v>109</v>
      </c>
      <c r="AU67" s="326">
        <f>SUM(AU61:AU65)+IF(AT60&gt;0,AU60,0)</f>
        <v>15161.884579764681</v>
      </c>
      <c r="AV67" s="160">
        <f>AU67*12.5/2000</f>
        <v>94.761778623529253</v>
      </c>
      <c r="AY67">
        <f>AY66*2000/2204.6</f>
        <v>0.74411992768734536</v>
      </c>
      <c r="AZ67" t="s">
        <v>284</v>
      </c>
    </row>
    <row r="68" spans="1:52" ht="27" thickBot="1">
      <c r="A68" s="138" t="s">
        <v>15</v>
      </c>
      <c r="B68" s="114">
        <v>160</v>
      </c>
      <c r="C68" s="219">
        <v>1.2999999999999999E-2</v>
      </c>
      <c r="D68" s="117">
        <f t="shared" si="155"/>
        <v>0.1295</v>
      </c>
      <c r="E68" s="114">
        <f t="shared" si="171"/>
        <v>20.720000000000002</v>
      </c>
      <c r="F68" s="115">
        <f t="shared" si="156"/>
        <v>41.440000000000005</v>
      </c>
      <c r="G68" s="118">
        <f t="shared" si="157"/>
        <v>1.7266666666666668</v>
      </c>
      <c r="H68" s="125">
        <f t="shared" si="165"/>
        <v>10.848966630396752</v>
      </c>
      <c r="I68" s="118">
        <f t="shared" si="172"/>
        <v>9.3662745242425309</v>
      </c>
      <c r="J68" s="219">
        <v>0.6</v>
      </c>
      <c r="K68" s="126">
        <f t="shared" si="173"/>
        <v>167</v>
      </c>
      <c r="L68" s="353">
        <f t="shared" si="166"/>
        <v>0.435</v>
      </c>
      <c r="M68" s="125">
        <f t="shared" si="174"/>
        <v>680.41301281359858</v>
      </c>
      <c r="N68" s="118">
        <f t="shared" si="175"/>
        <v>64.641498535757478</v>
      </c>
      <c r="O68" s="122">
        <f t="shared" si="158"/>
        <v>8.5464046015857428E-2</v>
      </c>
      <c r="P68" s="122">
        <f t="shared" si="159"/>
        <v>0.89959005211988563</v>
      </c>
      <c r="Q68" s="122">
        <f t="shared" si="160"/>
        <v>0.8</v>
      </c>
      <c r="R68" s="118">
        <f t="shared" si="176"/>
        <v>3.2320749267878739</v>
      </c>
      <c r="S68" s="123">
        <f t="shared" si="177"/>
        <v>0.1295</v>
      </c>
      <c r="T68" s="117">
        <f t="shared" si="178"/>
        <v>76.92307692307692</v>
      </c>
      <c r="U68" s="356"/>
      <c r="V68" s="245">
        <f t="shared" si="179"/>
        <v>1</v>
      </c>
      <c r="W68" s="318">
        <v>21</v>
      </c>
      <c r="X68" s="118">
        <f t="shared" si="161"/>
        <v>1385.4423602330987</v>
      </c>
      <c r="Y68" s="157">
        <f t="shared" si="162"/>
        <v>31.441221410807081</v>
      </c>
      <c r="AR68" s="37" t="s">
        <v>262</v>
      </c>
      <c r="AS68" s="37"/>
      <c r="AT68" s="37"/>
      <c r="AU68" s="215">
        <f>AU67*R1*T1/100/2000</f>
        <v>94.761778623529253</v>
      </c>
    </row>
    <row r="69" spans="1:52" ht="25" thickBot="1">
      <c r="A69" s="138" t="s">
        <v>16</v>
      </c>
      <c r="B69" s="114">
        <v>180</v>
      </c>
      <c r="C69" s="219">
        <v>1.2E-2</v>
      </c>
      <c r="D69" s="117">
        <f t="shared" si="155"/>
        <v>0.11644444444444445</v>
      </c>
      <c r="E69" s="114">
        <f t="shared" si="171"/>
        <v>20.96</v>
      </c>
      <c r="F69" s="115">
        <f t="shared" si="156"/>
        <v>41.92</v>
      </c>
      <c r="G69" s="118">
        <f t="shared" si="157"/>
        <v>1.7466666666666668</v>
      </c>
      <c r="H69" s="119">
        <f t="shared" si="165"/>
        <v>10.974630336540345</v>
      </c>
      <c r="I69" s="118">
        <f t="shared" si="172"/>
        <v>9.5845104939119015</v>
      </c>
      <c r="J69" s="219">
        <v>0.3</v>
      </c>
      <c r="K69" s="115">
        <f t="shared" si="173"/>
        <v>173</v>
      </c>
      <c r="L69" s="353">
        <f t="shared" si="166"/>
        <v>0.435</v>
      </c>
      <c r="M69" s="121">
        <f t="shared" si="174"/>
        <v>721.28233721934009</v>
      </c>
      <c r="N69" s="118">
        <f t="shared" si="175"/>
        <v>40.869324405741509</v>
      </c>
      <c r="O69" s="122">
        <f t="shared" si="158"/>
        <v>5.4034295317537652E-2</v>
      </c>
      <c r="P69" s="122">
        <f t="shared" si="159"/>
        <v>0.95362434743742319</v>
      </c>
      <c r="Q69" s="122">
        <f t="shared" si="160"/>
        <v>0.9</v>
      </c>
      <c r="R69" s="118">
        <f t="shared" si="176"/>
        <v>2.0434662202870753</v>
      </c>
      <c r="S69" s="123">
        <f t="shared" si="177"/>
        <v>0.11644444444444445</v>
      </c>
      <c r="T69" s="117">
        <f t="shared" si="178"/>
        <v>83.333333333333329</v>
      </c>
      <c r="U69" s="356"/>
      <c r="V69" s="245">
        <f t="shared" si="179"/>
        <v>1</v>
      </c>
      <c r="W69" s="318">
        <v>22</v>
      </c>
      <c r="X69" s="118">
        <f t="shared" si="161"/>
        <v>1520.5308443374599</v>
      </c>
      <c r="Y69" s="157">
        <f t="shared" si="162"/>
        <v>28.647889756541161</v>
      </c>
      <c r="AR69" s="37" t="s">
        <v>263</v>
      </c>
      <c r="AS69" s="37"/>
      <c r="AT69" s="37"/>
      <c r="AU69" s="215">
        <f>AW69</f>
        <v>8.4</v>
      </c>
      <c r="AW69" s="38">
        <f>10*80*42*0.5/2000</f>
        <v>8.4</v>
      </c>
    </row>
    <row r="70" spans="1:52" ht="25" thickBot="1">
      <c r="A70" s="139" t="s">
        <v>17</v>
      </c>
      <c r="B70" s="140">
        <v>200</v>
      </c>
      <c r="C70" s="220">
        <v>0.01</v>
      </c>
      <c r="D70" s="141">
        <f t="shared" si="155"/>
        <v>0.10580000000000001</v>
      </c>
      <c r="E70" s="140">
        <f t="shared" si="171"/>
        <v>21.16</v>
      </c>
      <c r="F70" s="142">
        <f t="shared" si="156"/>
        <v>42.32</v>
      </c>
      <c r="G70" s="143">
        <f t="shared" si="157"/>
        <v>1.7633333333333334</v>
      </c>
      <c r="H70" s="144">
        <f t="shared" si="165"/>
        <v>11.079350091660004</v>
      </c>
      <c r="I70" s="143">
        <f t="shared" si="172"/>
        <v>9.7682936641469045</v>
      </c>
      <c r="J70" s="220">
        <v>0.25</v>
      </c>
      <c r="K70" s="142">
        <f t="shared" si="173"/>
        <v>178</v>
      </c>
      <c r="L70" s="354">
        <f t="shared" si="166"/>
        <v>0.435</v>
      </c>
      <c r="M70" s="145">
        <f t="shared" si="174"/>
        <v>756.35897841489475</v>
      </c>
      <c r="N70" s="143">
        <f t="shared" si="175"/>
        <v>35.076641195554657</v>
      </c>
      <c r="O70" s="146">
        <f t="shared" si="158"/>
        <v>4.6375652562576766E-2</v>
      </c>
      <c r="P70" s="146">
        <f t="shared" si="159"/>
        <v>1</v>
      </c>
      <c r="Q70" s="146">
        <f t="shared" si="160"/>
        <v>1</v>
      </c>
      <c r="R70" s="143">
        <f t="shared" si="176"/>
        <v>1.7538320597777328</v>
      </c>
      <c r="S70" s="147">
        <f t="shared" si="177"/>
        <v>0.10580000000000001</v>
      </c>
      <c r="T70" s="141">
        <f t="shared" si="178"/>
        <v>100</v>
      </c>
      <c r="U70" s="357"/>
      <c r="V70" s="246">
        <f t="shared" si="179"/>
        <v>1</v>
      </c>
      <c r="W70" s="319">
        <v>23</v>
      </c>
      <c r="X70" s="143">
        <f t="shared" si="161"/>
        <v>1661.9025137490005</v>
      </c>
      <c r="Y70" s="158">
        <f t="shared" si="162"/>
        <v>26.21092370919834</v>
      </c>
      <c r="AR70" s="37" t="s">
        <v>264</v>
      </c>
      <c r="AS70" s="37"/>
      <c r="AT70" s="37"/>
      <c r="AU70" s="215">
        <f>SUM(AU68:AU69)</f>
        <v>103.16177862352926</v>
      </c>
    </row>
    <row r="71" spans="1:52" ht="30" thickBot="1">
      <c r="W71" s="225" t="s">
        <v>199</v>
      </c>
      <c r="X71" s="25"/>
      <c r="Y71" s="36"/>
    </row>
    <row r="72" spans="1:52" ht="27" thickBot="1">
      <c r="A72" s="257" t="s">
        <v>248</v>
      </c>
      <c r="B72" s="25"/>
      <c r="C72" s="25"/>
      <c r="D72" s="36"/>
      <c r="E72" s="243"/>
      <c r="F72" s="170"/>
      <c r="G72" s="166"/>
      <c r="H72" s="37" t="s">
        <v>283</v>
      </c>
      <c r="W72" s="167"/>
      <c r="X72" s="171"/>
      <c r="Y72" s="168"/>
      <c r="AK72" s="257" t="s">
        <v>213</v>
      </c>
      <c r="AL72" s="258"/>
      <c r="AM72" s="258"/>
      <c r="AN72" s="258"/>
      <c r="AO72" s="259"/>
    </row>
    <row r="73" spans="1:52" ht="133" thickBot="1">
      <c r="A73" s="132" t="s">
        <v>1</v>
      </c>
      <c r="B73" s="133" t="s">
        <v>4</v>
      </c>
      <c r="C73" s="133" t="s">
        <v>10</v>
      </c>
      <c r="D73" s="133" t="s">
        <v>172</v>
      </c>
      <c r="E73" s="133" t="s">
        <v>173</v>
      </c>
      <c r="F73" s="134" t="s">
        <v>163</v>
      </c>
      <c r="G73" s="133" t="s">
        <v>174</v>
      </c>
      <c r="H73" s="133" t="s">
        <v>7</v>
      </c>
      <c r="I73" s="133" t="s">
        <v>5</v>
      </c>
      <c r="J73" s="133" t="s">
        <v>175</v>
      </c>
      <c r="K73" s="134" t="s">
        <v>8</v>
      </c>
      <c r="L73" s="135" t="s">
        <v>166</v>
      </c>
      <c r="M73" s="136" t="s">
        <v>6</v>
      </c>
      <c r="N73" s="133" t="s">
        <v>176</v>
      </c>
      <c r="O73" s="133" t="s">
        <v>177</v>
      </c>
      <c r="P73" s="133" t="s">
        <v>167</v>
      </c>
      <c r="Q73" s="133" t="s">
        <v>168</v>
      </c>
      <c r="R73" s="133" t="s">
        <v>9</v>
      </c>
      <c r="S73" s="133" t="s">
        <v>178</v>
      </c>
      <c r="T73" s="133" t="s">
        <v>179</v>
      </c>
      <c r="U73" s="136" t="s">
        <v>170</v>
      </c>
      <c r="V73" s="156" t="s">
        <v>171</v>
      </c>
      <c r="W73" s="247" t="s">
        <v>181</v>
      </c>
      <c r="X73" s="151" t="s">
        <v>180</v>
      </c>
      <c r="Y73" s="152" t="s">
        <v>182</v>
      </c>
      <c r="AK73" s="155" t="s">
        <v>183</v>
      </c>
      <c r="AL73" s="133" t="s">
        <v>185</v>
      </c>
      <c r="AM73" s="133" t="s">
        <v>184</v>
      </c>
      <c r="AN73" s="133" t="s">
        <v>265</v>
      </c>
      <c r="AO73" s="133" t="s">
        <v>266</v>
      </c>
      <c r="AP73" s="133" t="s">
        <v>267</v>
      </c>
      <c r="AQ73" s="133" t="s">
        <v>268</v>
      </c>
      <c r="AR73" s="133" t="s">
        <v>269</v>
      </c>
      <c r="AS73" s="133" t="s">
        <v>259</v>
      </c>
      <c r="AT73" s="133" t="s">
        <v>270</v>
      </c>
      <c r="AU73" s="133" t="s">
        <v>271</v>
      </c>
      <c r="AV73" s="133" t="s">
        <v>272</v>
      </c>
      <c r="AW73" s="156" t="s">
        <v>273</v>
      </c>
    </row>
    <row r="74" spans="1:52">
      <c r="A74" s="137" t="s">
        <v>3</v>
      </c>
      <c r="B74" s="114">
        <v>0</v>
      </c>
      <c r="C74" s="219">
        <v>0</v>
      </c>
      <c r="D74" s="114">
        <v>0</v>
      </c>
      <c r="E74" s="114">
        <v>0</v>
      </c>
      <c r="F74" s="115">
        <f>E74*2</f>
        <v>0</v>
      </c>
      <c r="G74" s="114">
        <v>0</v>
      </c>
      <c r="H74" s="116">
        <v>0</v>
      </c>
      <c r="I74" s="114">
        <v>0</v>
      </c>
      <c r="J74" s="219">
        <v>0</v>
      </c>
      <c r="K74" s="115">
        <v>0</v>
      </c>
      <c r="L74" s="353">
        <v>0</v>
      </c>
      <c r="M74" s="120">
        <v>0</v>
      </c>
      <c r="N74" s="114">
        <v>0</v>
      </c>
      <c r="O74" s="114">
        <f>N74/$M$56</f>
        <v>0</v>
      </c>
      <c r="P74" s="114">
        <f>M74/$M$56</f>
        <v>0</v>
      </c>
      <c r="Q74" s="114">
        <v>0</v>
      </c>
      <c r="R74" s="114">
        <v>0</v>
      </c>
      <c r="S74" s="114">
        <v>0</v>
      </c>
      <c r="T74" s="114">
        <v>0</v>
      </c>
      <c r="U74" s="355">
        <v>0</v>
      </c>
      <c r="V74" s="244">
        <v>0</v>
      </c>
      <c r="W74" s="318"/>
      <c r="X74" s="240"/>
      <c r="Y74" s="241"/>
      <c r="AK74" s="161">
        <v>1</v>
      </c>
      <c r="AL74" s="186" t="s">
        <v>13</v>
      </c>
      <c r="AM74" s="149">
        <f>Y10</f>
        <v>138.65578642165923</v>
      </c>
      <c r="AN74" s="149">
        <f>M10</f>
        <v>94.166785422093426</v>
      </c>
      <c r="AO74" s="149">
        <f>AM74*AN74</f>
        <v>13056.7696875</v>
      </c>
      <c r="AP74" s="149">
        <f>W10</f>
        <v>10</v>
      </c>
      <c r="AQ74" s="149">
        <f>AP74^2*PI()</f>
        <v>314.15926535897933</v>
      </c>
      <c r="AR74" s="149">
        <f t="shared" ref="AR74:AR79" si="180">AM74*AQ74</f>
        <v>43560.000000000007</v>
      </c>
      <c r="AS74" s="321"/>
      <c r="AT74" s="222">
        <f>AT80-SUM(AT75:AT79)</f>
        <v>33.6</v>
      </c>
      <c r="AU74" s="149">
        <f t="shared" ref="AU74:AU78" si="181">AT74*AN74</f>
        <v>3164.0039901823393</v>
      </c>
      <c r="AV74" s="149">
        <f>AT74*AQ74</f>
        <v>10555.751316061705</v>
      </c>
      <c r="AW74" s="172">
        <f>AV74</f>
        <v>10555.751316061705</v>
      </c>
    </row>
    <row r="75" spans="1:52" ht="24">
      <c r="A75" s="138" t="s">
        <v>2</v>
      </c>
      <c r="B75" s="114">
        <v>20</v>
      </c>
      <c r="C75" s="219">
        <v>0.15</v>
      </c>
      <c r="D75" s="117">
        <f t="shared" ref="D75:D84" si="182">E75/B75</f>
        <v>0.15</v>
      </c>
      <c r="E75" s="114">
        <f>B75*C75</f>
        <v>3</v>
      </c>
      <c r="F75" s="115">
        <f t="shared" ref="F75:F84" si="183">E75*2</f>
        <v>6</v>
      </c>
      <c r="G75" s="118">
        <f t="shared" ref="G75:G84" si="184">E75/12</f>
        <v>0.25</v>
      </c>
      <c r="H75" s="119">
        <f>PI()*2*G75</f>
        <v>1.5707963267948966</v>
      </c>
      <c r="I75" s="118">
        <f t="shared" ref="I75:I84" si="185">PI()*G75^2</f>
        <v>0.19634954084936207</v>
      </c>
      <c r="J75" s="219">
        <v>1.1000000000000001</v>
      </c>
      <c r="K75" s="115">
        <f>B75*J75</f>
        <v>22</v>
      </c>
      <c r="L75" s="353">
        <f>$V$1</f>
        <v>0.435</v>
      </c>
      <c r="M75" s="121">
        <f>I75*K75*L75</f>
        <v>1.8790651059283947</v>
      </c>
      <c r="N75" s="118">
        <f>M75-M74</f>
        <v>1.8790651059283947</v>
      </c>
      <c r="O75" s="122">
        <f t="shared" ref="O75:O84" si="186">N75/$M$84</f>
        <v>2.0279030238338517E-3</v>
      </c>
      <c r="P75" s="122">
        <f t="shared" ref="P75:P84" si="187">M75/$M$84</f>
        <v>2.0279030238338517E-3</v>
      </c>
      <c r="Q75" s="122">
        <f t="shared" ref="Q75:Q84" si="188">B75/$B$84</f>
        <v>0.1</v>
      </c>
      <c r="R75" s="118">
        <f>N75/(B75-B74)</f>
        <v>9.3953255296419735E-2</v>
      </c>
      <c r="S75" s="123">
        <f>E75/B75</f>
        <v>0.15</v>
      </c>
      <c r="T75" s="117">
        <f t="shared" ref="T75:T84" si="189">1/C75</f>
        <v>6.666666666666667</v>
      </c>
      <c r="U75" s="356"/>
      <c r="V75" s="245">
        <f>(M75-U75)/M75</f>
        <v>1</v>
      </c>
      <c r="W75" s="318">
        <v>9.5</v>
      </c>
      <c r="X75" s="118">
        <f t="shared" ref="X75:X84" si="190">PI()*W75^2</f>
        <v>283.5287369864788</v>
      </c>
      <c r="Y75" s="157">
        <f t="shared" ref="Y75:Y84" si="191">43560/X75</f>
        <v>153.63522041181079</v>
      </c>
      <c r="AK75" s="161">
        <v>2</v>
      </c>
      <c r="AL75" s="54" t="s">
        <v>13</v>
      </c>
      <c r="AM75" s="149">
        <f>Y24</f>
        <v>88.739703309861895</v>
      </c>
      <c r="AN75" s="149">
        <f>M24</f>
        <v>146.15861885757059</v>
      </c>
      <c r="AO75" s="149">
        <f>AM75*AN75</f>
        <v>12970.072473599999</v>
      </c>
      <c r="AP75" s="149">
        <f>W24</f>
        <v>12.5</v>
      </c>
      <c r="AQ75" s="149">
        <f t="shared" ref="AQ75:AQ78" si="192">AP75^2*PI()</f>
        <v>490.87385212340519</v>
      </c>
      <c r="AR75" s="149">
        <f t="shared" si="180"/>
        <v>43560</v>
      </c>
      <c r="AS75" s="321">
        <v>0.2</v>
      </c>
      <c r="AT75" s="222">
        <f>AS75*$AT$80</f>
        <v>18.8</v>
      </c>
      <c r="AU75" s="149">
        <f t="shared" si="181"/>
        <v>2747.7820345223272</v>
      </c>
      <c r="AV75" s="149">
        <f t="shared" ref="AV75:AV78" si="193">AT75*AQ75</f>
        <v>9228.4284199200174</v>
      </c>
      <c r="AW75" s="172">
        <f>AV75+AW74</f>
        <v>19784.179735981721</v>
      </c>
    </row>
    <row r="76" spans="1:52" ht="24">
      <c r="A76" s="138" t="s">
        <v>11</v>
      </c>
      <c r="B76" s="114">
        <v>40</v>
      </c>
      <c r="C76" s="219">
        <v>0.3</v>
      </c>
      <c r="D76" s="117">
        <f t="shared" si="182"/>
        <v>0.22500000000000001</v>
      </c>
      <c r="E76" s="114">
        <f>(B76-B75)*C76+E75</f>
        <v>9</v>
      </c>
      <c r="F76" s="115">
        <f t="shared" si="183"/>
        <v>18</v>
      </c>
      <c r="G76" s="118">
        <f t="shared" si="184"/>
        <v>0.75</v>
      </c>
      <c r="H76" s="119">
        <f t="shared" ref="H76:H84" si="194">PI()*2*G76</f>
        <v>4.7123889803846897</v>
      </c>
      <c r="I76" s="118">
        <f t="shared" si="185"/>
        <v>1.7671458676442586</v>
      </c>
      <c r="J76" s="219">
        <v>2.7</v>
      </c>
      <c r="K76" s="115">
        <f>(B76-B75)*J76+K75</f>
        <v>76</v>
      </c>
      <c r="L76" s="353">
        <f t="shared" ref="L76:L84" si="195">$V$1</f>
        <v>0.435</v>
      </c>
      <c r="M76" s="121">
        <f>I76*K76*L76</f>
        <v>58.421842384319191</v>
      </c>
      <c r="N76" s="118">
        <f>M76</f>
        <v>58.421842384319191</v>
      </c>
      <c r="O76" s="122">
        <f t="shared" si="186"/>
        <v>6.3049348559197943E-2</v>
      </c>
      <c r="P76" s="122">
        <f t="shared" si="187"/>
        <v>6.3049348559197943E-2</v>
      </c>
      <c r="Q76" s="122">
        <f t="shared" si="188"/>
        <v>0.2</v>
      </c>
      <c r="R76" s="118">
        <f>N76/(B76-B75)</f>
        <v>2.9210921192159596</v>
      </c>
      <c r="S76" s="123">
        <f>E76/B76</f>
        <v>0.22500000000000001</v>
      </c>
      <c r="T76" s="117">
        <f t="shared" si="189"/>
        <v>3.3333333333333335</v>
      </c>
      <c r="U76" s="356"/>
      <c r="V76" s="245">
        <f>(M76-U76)/M76</f>
        <v>1</v>
      </c>
      <c r="W76" s="318">
        <v>11</v>
      </c>
      <c r="X76" s="118">
        <f t="shared" si="190"/>
        <v>380.13271108436498</v>
      </c>
      <c r="Y76" s="157">
        <f t="shared" si="191"/>
        <v>114.59155902616465</v>
      </c>
      <c r="AK76" s="161">
        <v>3</v>
      </c>
      <c r="AL76" s="54" t="s">
        <v>13</v>
      </c>
      <c r="AM76" s="149">
        <f>Y38</f>
        <v>82.044844036484747</v>
      </c>
      <c r="AN76" s="149">
        <f>M38</f>
        <v>210.63750423788844</v>
      </c>
      <c r="AO76" s="149">
        <f t="shared" ref="AO76:AO78" si="196">AM76*AN76</f>
        <v>17281.721183431953</v>
      </c>
      <c r="AP76" s="149">
        <f>W38</f>
        <v>13</v>
      </c>
      <c r="AQ76" s="149">
        <f t="shared" si="192"/>
        <v>530.92915845667505</v>
      </c>
      <c r="AR76" s="149">
        <f t="shared" si="180"/>
        <v>43560</v>
      </c>
      <c r="AS76" s="321">
        <v>0.3</v>
      </c>
      <c r="AT76" s="222">
        <f t="shared" ref="AT76:AT77" si="197">AS76*$AT$80</f>
        <v>28.2</v>
      </c>
      <c r="AU76" s="149">
        <f t="shared" si="181"/>
        <v>5939.9776195084542</v>
      </c>
      <c r="AV76" s="149">
        <f t="shared" si="193"/>
        <v>14972.202268478237</v>
      </c>
      <c r="AW76" s="172">
        <f t="shared" ref="AW76:AW79" si="198">AV76+AW75</f>
        <v>34756.382004459956</v>
      </c>
    </row>
    <row r="77" spans="1:52" ht="24">
      <c r="A77" s="138" t="s">
        <v>164</v>
      </c>
      <c r="B77" s="114">
        <v>60</v>
      </c>
      <c r="C77" s="219">
        <v>0.2</v>
      </c>
      <c r="D77" s="117">
        <f t="shared" si="182"/>
        <v>0.21666666666666667</v>
      </c>
      <c r="E77" s="114">
        <f>(B77-B76)*C77+E76</f>
        <v>13</v>
      </c>
      <c r="F77" s="115">
        <f t="shared" si="183"/>
        <v>26</v>
      </c>
      <c r="G77" s="118">
        <f t="shared" si="184"/>
        <v>1.0833333333333333</v>
      </c>
      <c r="H77" s="119">
        <f t="shared" si="194"/>
        <v>6.8067840827778845</v>
      </c>
      <c r="I77" s="118">
        <f t="shared" si="185"/>
        <v>3.6870080448380205</v>
      </c>
      <c r="J77" s="219">
        <v>1.25</v>
      </c>
      <c r="K77" s="115">
        <f>(B77-B76)*J77+K76</f>
        <v>101</v>
      </c>
      <c r="L77" s="353">
        <f t="shared" si="195"/>
        <v>0.435</v>
      </c>
      <c r="M77" s="121">
        <f>I77*K77*L77</f>
        <v>161.98869844995841</v>
      </c>
      <c r="N77" s="118">
        <f>M77-M76</f>
        <v>103.56685606563921</v>
      </c>
      <c r="O77" s="122">
        <f t="shared" si="186"/>
        <v>0.11177023080352937</v>
      </c>
      <c r="P77" s="122">
        <f t="shared" si="187"/>
        <v>0.17481957936272732</v>
      </c>
      <c r="Q77" s="122">
        <f t="shared" si="188"/>
        <v>0.3</v>
      </c>
      <c r="R77" s="118">
        <f>N77/(B77-B76)</f>
        <v>5.1783428032819607</v>
      </c>
      <c r="S77" s="123">
        <f>E77/B77</f>
        <v>0.21666666666666667</v>
      </c>
      <c r="T77" s="117">
        <f t="shared" si="189"/>
        <v>5</v>
      </c>
      <c r="U77" s="356"/>
      <c r="V77" s="245">
        <f>(M77-U77)/M77</f>
        <v>1</v>
      </c>
      <c r="W77" s="318">
        <v>13</v>
      </c>
      <c r="X77" s="118">
        <f t="shared" si="190"/>
        <v>530.92915845667505</v>
      </c>
      <c r="Y77" s="157">
        <f t="shared" si="191"/>
        <v>82.044844036484747</v>
      </c>
      <c r="AK77" s="161">
        <v>4</v>
      </c>
      <c r="AL77" s="54" t="s">
        <v>13</v>
      </c>
      <c r="AM77" s="149">
        <f>Y52</f>
        <v>76.079992549607255</v>
      </c>
      <c r="AN77" s="149">
        <f>M52</f>
        <v>296.14255873987656</v>
      </c>
      <c r="AO77" s="149">
        <f t="shared" si="196"/>
        <v>22530.523662551437</v>
      </c>
      <c r="AP77" s="149">
        <f>W52</f>
        <v>13.5</v>
      </c>
      <c r="AQ77" s="149">
        <f t="shared" si="192"/>
        <v>572.55526111673976</v>
      </c>
      <c r="AR77" s="149">
        <f t="shared" si="180"/>
        <v>43560</v>
      </c>
      <c r="AS77" s="321">
        <v>0.1</v>
      </c>
      <c r="AT77" s="222">
        <f t="shared" si="197"/>
        <v>9.4</v>
      </c>
      <c r="AU77" s="149">
        <f t="shared" si="181"/>
        <v>2783.7400521548398</v>
      </c>
      <c r="AV77" s="149">
        <f t="shared" si="193"/>
        <v>5382.0194544973538</v>
      </c>
      <c r="AW77" s="172">
        <f t="shared" si="198"/>
        <v>40138.401458957313</v>
      </c>
    </row>
    <row r="78" spans="1:52" ht="24">
      <c r="A78" s="138" t="s">
        <v>165</v>
      </c>
      <c r="B78" s="114">
        <v>80</v>
      </c>
      <c r="C78" s="219">
        <v>0.17499999999999999</v>
      </c>
      <c r="D78" s="117">
        <f t="shared" si="182"/>
        <v>0.20624999999999999</v>
      </c>
      <c r="E78" s="114">
        <f t="shared" ref="E78:E84" si="199">(B78-B77)*C78+E77</f>
        <v>16.5</v>
      </c>
      <c r="F78" s="115">
        <f t="shared" si="183"/>
        <v>33</v>
      </c>
      <c r="G78" s="118">
        <f t="shared" si="184"/>
        <v>1.375</v>
      </c>
      <c r="H78" s="119">
        <f t="shared" si="194"/>
        <v>8.6393797973719302</v>
      </c>
      <c r="I78" s="118">
        <f t="shared" si="185"/>
        <v>5.9395736106932029</v>
      </c>
      <c r="J78" s="219">
        <v>0.8</v>
      </c>
      <c r="K78" s="115">
        <f t="shared" ref="K78:K84" si="200">(B78-B77)*J78+K77</f>
        <v>117</v>
      </c>
      <c r="L78" s="353">
        <f t="shared" si="195"/>
        <v>0.435</v>
      </c>
      <c r="M78" s="121">
        <f t="shared" ref="M78:M79" si="201">I78*K78*L78</f>
        <v>302.29459891623054</v>
      </c>
      <c r="N78" s="118">
        <f>M78-M77</f>
        <v>140.30590046627213</v>
      </c>
      <c r="O78" s="122">
        <f t="shared" si="186"/>
        <v>0.15141931959654362</v>
      </c>
      <c r="P78" s="122">
        <f t="shared" si="187"/>
        <v>0.32623889895927094</v>
      </c>
      <c r="Q78" s="122">
        <f t="shared" si="188"/>
        <v>0.4</v>
      </c>
      <c r="R78" s="118">
        <f t="shared" ref="R78:R84" si="202">N78/(B78-B77)</f>
        <v>7.0152950233136071</v>
      </c>
      <c r="S78" s="123">
        <f t="shared" ref="S78:S84" si="203">E78/B78</f>
        <v>0.20624999999999999</v>
      </c>
      <c r="T78" s="117">
        <f t="shared" si="189"/>
        <v>5.7142857142857144</v>
      </c>
      <c r="U78" s="356"/>
      <c r="V78" s="245">
        <f t="shared" ref="V78:V84" si="204">(M78-U78)/M78</f>
        <v>1</v>
      </c>
      <c r="W78" s="318">
        <v>15</v>
      </c>
      <c r="X78" s="118">
        <f t="shared" si="190"/>
        <v>706.85834705770344</v>
      </c>
      <c r="Y78" s="157">
        <f t="shared" si="191"/>
        <v>61.62479396518188</v>
      </c>
      <c r="AK78" s="161">
        <v>5</v>
      </c>
      <c r="AL78" s="54" t="s">
        <v>13</v>
      </c>
      <c r="AM78" s="149">
        <f>Y66</f>
        <v>42.794995809154081</v>
      </c>
      <c r="AN78" s="149">
        <f>M66</f>
        <v>517.20507442845349</v>
      </c>
      <c r="AO78" s="149">
        <f t="shared" si="196"/>
        <v>22133.788992638893</v>
      </c>
      <c r="AP78" s="149">
        <f>W66</f>
        <v>18</v>
      </c>
      <c r="AQ78" s="149">
        <f t="shared" si="192"/>
        <v>1017.8760197630929</v>
      </c>
      <c r="AR78" s="149">
        <f t="shared" si="180"/>
        <v>43560</v>
      </c>
      <c r="AS78" s="321"/>
      <c r="AT78" s="222">
        <v>3</v>
      </c>
      <c r="AU78" s="149">
        <f t="shared" si="181"/>
        <v>1551.6152232853606</v>
      </c>
      <c r="AV78" s="149">
        <f t="shared" si="193"/>
        <v>3053.628059289279</v>
      </c>
      <c r="AW78" s="172">
        <f t="shared" si="198"/>
        <v>43192.029518246592</v>
      </c>
    </row>
    <row r="79" spans="1:52" ht="31" customHeight="1" thickBot="1">
      <c r="A79" s="138" t="s">
        <v>12</v>
      </c>
      <c r="B79" s="114">
        <v>100</v>
      </c>
      <c r="C79" s="219">
        <v>0.125</v>
      </c>
      <c r="D79" s="117">
        <f t="shared" si="182"/>
        <v>0.19</v>
      </c>
      <c r="E79" s="114">
        <f t="shared" si="199"/>
        <v>19</v>
      </c>
      <c r="F79" s="115">
        <f t="shared" si="183"/>
        <v>38</v>
      </c>
      <c r="G79" s="118">
        <f t="shared" si="184"/>
        <v>1.5833333333333333</v>
      </c>
      <c r="H79" s="119">
        <f t="shared" si="194"/>
        <v>9.9483767363676776</v>
      </c>
      <c r="I79" s="118">
        <f t="shared" si="185"/>
        <v>7.8757982496244114</v>
      </c>
      <c r="J79" s="219">
        <v>0.7</v>
      </c>
      <c r="K79" s="115">
        <f t="shared" si="200"/>
        <v>131</v>
      </c>
      <c r="L79" s="353">
        <f t="shared" si="195"/>
        <v>0.435</v>
      </c>
      <c r="M79" s="121">
        <f t="shared" si="201"/>
        <v>448.80236325484708</v>
      </c>
      <c r="N79" s="118">
        <f>M79-M78</f>
        <v>146.50776433861654</v>
      </c>
      <c r="O79" s="122">
        <f t="shared" si="186"/>
        <v>0.15811242376864162</v>
      </c>
      <c r="P79" s="122">
        <f t="shared" si="187"/>
        <v>0.48435132272791254</v>
      </c>
      <c r="Q79" s="122">
        <f t="shared" si="188"/>
        <v>0.5</v>
      </c>
      <c r="R79" s="118">
        <f t="shared" si="202"/>
        <v>7.3253882169308273</v>
      </c>
      <c r="S79" s="123">
        <f t="shared" si="203"/>
        <v>0.19</v>
      </c>
      <c r="T79" s="117">
        <f t="shared" si="189"/>
        <v>8</v>
      </c>
      <c r="U79" s="356"/>
      <c r="V79" s="245">
        <f t="shared" si="204"/>
        <v>1</v>
      </c>
      <c r="W79" s="318">
        <v>17</v>
      </c>
      <c r="X79" s="118">
        <f t="shared" si="190"/>
        <v>907.9202768874502</v>
      </c>
      <c r="Y79" s="157">
        <f t="shared" si="191"/>
        <v>47.977780768740217</v>
      </c>
      <c r="AK79" s="162">
        <v>6</v>
      </c>
      <c r="AL79" s="163" t="s">
        <v>13</v>
      </c>
      <c r="AM79" s="164">
        <f>Y80</f>
        <v>38.408805102952698</v>
      </c>
      <c r="AN79" s="164">
        <f>M80</f>
        <v>598.48223623819376</v>
      </c>
      <c r="AO79" s="164">
        <f>AM79*AN79</f>
        <v>22986.98756925208</v>
      </c>
      <c r="AP79" s="164">
        <f>W80</f>
        <v>19</v>
      </c>
      <c r="AQ79" s="164">
        <f>AP79^2*PI()</f>
        <v>1134.1149479459152</v>
      </c>
      <c r="AR79" s="164">
        <f t="shared" si="180"/>
        <v>43560</v>
      </c>
      <c r="AS79" s="341"/>
      <c r="AT79" s="223">
        <v>1</v>
      </c>
      <c r="AU79" s="164">
        <f>AT79*AN79</f>
        <v>598.48223623819376</v>
      </c>
      <c r="AV79" s="164">
        <f>AT79*AQ79</f>
        <v>1134.1149479459152</v>
      </c>
      <c r="AW79" s="173">
        <f t="shared" si="198"/>
        <v>44326.144466192505</v>
      </c>
    </row>
    <row r="80" spans="1:52" ht="27" thickBot="1">
      <c r="A80" s="138" t="s">
        <v>13</v>
      </c>
      <c r="B80" s="114">
        <v>120</v>
      </c>
      <c r="C80" s="219">
        <v>0.1</v>
      </c>
      <c r="D80" s="117">
        <f t="shared" si="182"/>
        <v>0.17499999999999999</v>
      </c>
      <c r="E80" s="114">
        <f t="shared" si="199"/>
        <v>21</v>
      </c>
      <c r="F80" s="115">
        <f t="shared" si="183"/>
        <v>42</v>
      </c>
      <c r="G80" s="118">
        <f t="shared" si="184"/>
        <v>1.75</v>
      </c>
      <c r="H80" s="119">
        <f t="shared" si="194"/>
        <v>10.995574287564276</v>
      </c>
      <c r="I80" s="118">
        <f t="shared" si="185"/>
        <v>9.6211275016187408</v>
      </c>
      <c r="J80" s="219">
        <v>0.6</v>
      </c>
      <c r="K80" s="115">
        <f t="shared" si="200"/>
        <v>143</v>
      </c>
      <c r="L80" s="353">
        <f t="shared" si="195"/>
        <v>0.435</v>
      </c>
      <c r="M80" s="121">
        <f t="shared" ref="M80:M84" si="205">I80*K80*L80</f>
        <v>598.48223623819376</v>
      </c>
      <c r="N80" s="124">
        <f t="shared" ref="N80:N84" si="206">M80-M79</f>
        <v>149.67987298334668</v>
      </c>
      <c r="O80" s="122">
        <f t="shared" si="186"/>
        <v>0.16153579036316923</v>
      </c>
      <c r="P80" s="122">
        <f t="shared" si="187"/>
        <v>0.64588711309108182</v>
      </c>
      <c r="Q80" s="122">
        <f t="shared" si="188"/>
        <v>0.6</v>
      </c>
      <c r="R80" s="118">
        <f t="shared" si="202"/>
        <v>7.483993649167334</v>
      </c>
      <c r="S80" s="123">
        <f t="shared" si="203"/>
        <v>0.17499999999999999</v>
      </c>
      <c r="T80" s="117">
        <f t="shared" si="189"/>
        <v>10</v>
      </c>
      <c r="U80" s="356"/>
      <c r="V80" s="245">
        <f t="shared" si="204"/>
        <v>1</v>
      </c>
      <c r="W80" s="318">
        <v>19</v>
      </c>
      <c r="X80" s="118">
        <f t="shared" si="190"/>
        <v>1134.1149479459152</v>
      </c>
      <c r="Y80" s="157">
        <f t="shared" si="191"/>
        <v>38.408805102952698</v>
      </c>
      <c r="AM80" s="323">
        <f>SUM(AM74:AM79)</f>
        <v>466.7241272297199</v>
      </c>
      <c r="AR80" s="37"/>
      <c r="AS80" s="37"/>
      <c r="AT80" s="358">
        <v>94</v>
      </c>
      <c r="AU80" s="160">
        <f>SUM(AU74:AU79)</f>
        <v>16785.601155891512</v>
      </c>
      <c r="AV80" s="160">
        <f>AU80*12.5/2000</f>
        <v>104.91000722432194</v>
      </c>
    </row>
    <row r="81" spans="1:49" ht="25" thickBot="1">
      <c r="A81" s="138" t="s">
        <v>14</v>
      </c>
      <c r="B81" s="114">
        <v>140</v>
      </c>
      <c r="C81" s="219">
        <v>0.08</v>
      </c>
      <c r="D81" s="117">
        <f t="shared" si="182"/>
        <v>0.16142857142857145</v>
      </c>
      <c r="E81" s="114">
        <f t="shared" si="199"/>
        <v>22.6</v>
      </c>
      <c r="F81" s="115">
        <f t="shared" si="183"/>
        <v>45.2</v>
      </c>
      <c r="G81" s="118">
        <f t="shared" si="184"/>
        <v>1.8833333333333335</v>
      </c>
      <c r="H81" s="119">
        <f t="shared" si="194"/>
        <v>11.833332328521555</v>
      </c>
      <c r="I81" s="118">
        <f t="shared" si="185"/>
        <v>11.143054609357799</v>
      </c>
      <c r="J81" s="219">
        <v>0.4</v>
      </c>
      <c r="K81" s="115">
        <f t="shared" si="200"/>
        <v>151</v>
      </c>
      <c r="L81" s="353">
        <f t="shared" si="195"/>
        <v>0.435</v>
      </c>
      <c r="M81" s="121">
        <f t="shared" si="205"/>
        <v>731.93154201566711</v>
      </c>
      <c r="N81" s="118">
        <f t="shared" si="206"/>
        <v>133.44930577747334</v>
      </c>
      <c r="O81" s="122">
        <f t="shared" si="186"/>
        <v>0.14401962436578769</v>
      </c>
      <c r="P81" s="122">
        <f t="shared" si="187"/>
        <v>0.78990673745686946</v>
      </c>
      <c r="Q81" s="122">
        <f t="shared" si="188"/>
        <v>0.7</v>
      </c>
      <c r="R81" s="118">
        <f t="shared" si="202"/>
        <v>6.6724652888736671</v>
      </c>
      <c r="S81" s="123">
        <f t="shared" si="203"/>
        <v>0.16142857142857145</v>
      </c>
      <c r="T81" s="117">
        <f t="shared" si="189"/>
        <v>12.5</v>
      </c>
      <c r="U81" s="356"/>
      <c r="V81" s="245">
        <f t="shared" si="204"/>
        <v>1</v>
      </c>
      <c r="W81" s="318">
        <v>21</v>
      </c>
      <c r="X81" s="118">
        <f t="shared" si="190"/>
        <v>1385.4423602330987</v>
      </c>
      <c r="Y81" s="157">
        <f t="shared" si="191"/>
        <v>31.441221410807081</v>
      </c>
      <c r="AM81" s="324">
        <f>AM80/6</f>
        <v>77.78735453828665</v>
      </c>
      <c r="AR81" s="37" t="s">
        <v>258</v>
      </c>
      <c r="AS81" s="37"/>
      <c r="AT81" s="37">
        <f>SUM(AT75:AT79)+IF(AT74&gt;0,AT74,0)</f>
        <v>94</v>
      </c>
      <c r="AU81" s="326">
        <f>SUM(AU75:AU79)+IF(AT74&gt;0,AU74,0)</f>
        <v>16785.601155891516</v>
      </c>
      <c r="AV81" s="160">
        <f>AU81*12.5/2000</f>
        <v>104.91000722432197</v>
      </c>
    </row>
    <row r="82" spans="1:49" ht="25" thickBot="1">
      <c r="A82" s="138" t="s">
        <v>15</v>
      </c>
      <c r="B82" s="114">
        <v>160</v>
      </c>
      <c r="C82" s="219">
        <v>0.05</v>
      </c>
      <c r="D82" s="117">
        <f t="shared" si="182"/>
        <v>0.14750000000000002</v>
      </c>
      <c r="E82" s="114">
        <f t="shared" si="199"/>
        <v>23.6</v>
      </c>
      <c r="F82" s="115">
        <f t="shared" si="183"/>
        <v>47.2</v>
      </c>
      <c r="G82" s="118">
        <f t="shared" si="184"/>
        <v>1.9666666666666668</v>
      </c>
      <c r="H82" s="119">
        <f t="shared" si="194"/>
        <v>12.356931104119854</v>
      </c>
      <c r="I82" s="118">
        <f t="shared" si="185"/>
        <v>12.150982252384525</v>
      </c>
      <c r="J82" s="219">
        <v>0.3</v>
      </c>
      <c r="K82" s="115">
        <f t="shared" si="200"/>
        <v>157</v>
      </c>
      <c r="L82" s="353">
        <f t="shared" si="195"/>
        <v>0.435</v>
      </c>
      <c r="M82" s="121">
        <f t="shared" si="205"/>
        <v>829.85133292660112</v>
      </c>
      <c r="N82" s="118">
        <f t="shared" si="206"/>
        <v>97.919790910934012</v>
      </c>
      <c r="O82" s="122">
        <f t="shared" si="186"/>
        <v>0.10567587012018546</v>
      </c>
      <c r="P82" s="122">
        <f t="shared" si="187"/>
        <v>0.89558260757705499</v>
      </c>
      <c r="Q82" s="122">
        <f t="shared" si="188"/>
        <v>0.8</v>
      </c>
      <c r="R82" s="118">
        <f t="shared" si="202"/>
        <v>4.8959895455467004</v>
      </c>
      <c r="S82" s="123">
        <f t="shared" si="203"/>
        <v>0.14750000000000002</v>
      </c>
      <c r="T82" s="117">
        <f t="shared" si="189"/>
        <v>20</v>
      </c>
      <c r="U82" s="356"/>
      <c r="V82" s="245">
        <f t="shared" si="204"/>
        <v>1</v>
      </c>
      <c r="W82" s="318">
        <v>23</v>
      </c>
      <c r="X82" s="118">
        <f t="shared" si="190"/>
        <v>1661.9025137490005</v>
      </c>
      <c r="Y82" s="157">
        <f t="shared" si="191"/>
        <v>26.21092370919834</v>
      </c>
      <c r="AR82" s="37" t="s">
        <v>262</v>
      </c>
      <c r="AS82" s="37"/>
      <c r="AT82" s="37"/>
      <c r="AU82" s="215">
        <f>AU81*R1*T1/100/2000</f>
        <v>104.91000722432197</v>
      </c>
    </row>
    <row r="83" spans="1:49" ht="30" thickBot="1">
      <c r="A83" s="138" t="s">
        <v>16</v>
      </c>
      <c r="B83" s="114">
        <v>180</v>
      </c>
      <c r="C83" s="221">
        <v>2.75E-2</v>
      </c>
      <c r="D83" s="117">
        <f t="shared" si="182"/>
        <v>0.13416666666666668</v>
      </c>
      <c r="E83" s="114">
        <f t="shared" si="199"/>
        <v>24.150000000000002</v>
      </c>
      <c r="F83" s="115">
        <f t="shared" si="183"/>
        <v>48.300000000000004</v>
      </c>
      <c r="G83" s="118">
        <f t="shared" si="184"/>
        <v>2.0125000000000002</v>
      </c>
      <c r="H83" s="125">
        <f t="shared" si="194"/>
        <v>12.644910430698918</v>
      </c>
      <c r="I83" s="118">
        <f t="shared" si="185"/>
        <v>12.723941120890787</v>
      </c>
      <c r="J83" s="219">
        <v>0.15</v>
      </c>
      <c r="K83" s="115">
        <f t="shared" si="200"/>
        <v>160</v>
      </c>
      <c r="L83" s="353">
        <f t="shared" si="195"/>
        <v>0.435</v>
      </c>
      <c r="M83" s="224">
        <f t="shared" si="205"/>
        <v>885.58630201399876</v>
      </c>
      <c r="N83" s="118">
        <f t="shared" si="206"/>
        <v>55.734969087397644</v>
      </c>
      <c r="O83" s="122">
        <f t="shared" si="186"/>
        <v>6.014965207380471E-2</v>
      </c>
      <c r="P83" s="122">
        <f t="shared" si="187"/>
        <v>0.95573225965085962</v>
      </c>
      <c r="Q83" s="122">
        <f t="shared" si="188"/>
        <v>0.9</v>
      </c>
      <c r="R83" s="118">
        <f t="shared" si="202"/>
        <v>2.7867484543698824</v>
      </c>
      <c r="S83" s="123">
        <f t="shared" si="203"/>
        <v>0.13416666666666668</v>
      </c>
      <c r="T83" s="117">
        <f t="shared" si="189"/>
        <v>36.363636363636367</v>
      </c>
      <c r="U83" s="356"/>
      <c r="V83" s="245">
        <f t="shared" si="204"/>
        <v>1</v>
      </c>
      <c r="W83" s="318">
        <v>24</v>
      </c>
      <c r="X83" s="118">
        <f t="shared" si="190"/>
        <v>1809.5573684677208</v>
      </c>
      <c r="Y83" s="157">
        <f t="shared" si="191"/>
        <v>24.072185142649172</v>
      </c>
      <c r="AR83" s="37" t="s">
        <v>263</v>
      </c>
      <c r="AS83" s="37"/>
      <c r="AT83" s="37"/>
      <c r="AU83" s="215">
        <f>AW83</f>
        <v>9.4499999999999993</v>
      </c>
      <c r="AW83" s="38">
        <f>10*90*42*0.5/2000</f>
        <v>9.4499999999999993</v>
      </c>
    </row>
    <row r="84" spans="1:49" ht="27" thickBot="1">
      <c r="A84" s="139" t="s">
        <v>17</v>
      </c>
      <c r="B84" s="140">
        <v>200</v>
      </c>
      <c r="C84" s="248">
        <v>0.02</v>
      </c>
      <c r="D84" s="141">
        <f t="shared" si="182"/>
        <v>0.12275</v>
      </c>
      <c r="E84" s="140">
        <f t="shared" si="199"/>
        <v>24.55</v>
      </c>
      <c r="F84" s="142">
        <f t="shared" si="183"/>
        <v>49.1</v>
      </c>
      <c r="G84" s="143">
        <f t="shared" si="184"/>
        <v>2.0458333333333334</v>
      </c>
      <c r="H84" s="144">
        <f t="shared" si="194"/>
        <v>12.854349940938237</v>
      </c>
      <c r="I84" s="143">
        <f t="shared" si="185"/>
        <v>13.148928793751406</v>
      </c>
      <c r="J84" s="220">
        <v>0.1</v>
      </c>
      <c r="K84" s="142">
        <f t="shared" si="200"/>
        <v>162</v>
      </c>
      <c r="L84" s="354">
        <f t="shared" si="195"/>
        <v>0.435</v>
      </c>
      <c r="M84" s="145">
        <f t="shared" si="205"/>
        <v>926.60501209566155</v>
      </c>
      <c r="N84" s="143">
        <f t="shared" si="206"/>
        <v>41.018710081662789</v>
      </c>
      <c r="O84" s="146">
        <f t="shared" si="186"/>
        <v>4.4267740349140342E-2</v>
      </c>
      <c r="P84" s="146">
        <f t="shared" si="187"/>
        <v>1</v>
      </c>
      <c r="Q84" s="146">
        <f t="shared" si="188"/>
        <v>1</v>
      </c>
      <c r="R84" s="143">
        <f t="shared" si="202"/>
        <v>2.0509355040831396</v>
      </c>
      <c r="S84" s="147">
        <f t="shared" si="203"/>
        <v>0.12275</v>
      </c>
      <c r="T84" s="141">
        <f t="shared" si="189"/>
        <v>50</v>
      </c>
      <c r="U84" s="357"/>
      <c r="V84" s="246">
        <f t="shared" si="204"/>
        <v>1</v>
      </c>
      <c r="W84" s="319">
        <v>25</v>
      </c>
      <c r="X84" s="143">
        <f t="shared" si="190"/>
        <v>1963.4954084936207</v>
      </c>
      <c r="Y84" s="158">
        <f t="shared" si="191"/>
        <v>22.184925827465474</v>
      </c>
      <c r="AR84" s="37" t="s">
        <v>264</v>
      </c>
      <c r="AS84" s="37"/>
      <c r="AT84" s="37"/>
      <c r="AU84" s="215">
        <f>SUM(AU82:AU83)</f>
        <v>114.36000722432198</v>
      </c>
    </row>
    <row r="85" spans="1:49" ht="23" customHeight="1" thickBot="1"/>
    <row r="86" spans="1:49" ht="35" customHeight="1" thickBot="1">
      <c r="AK86" s="257" t="s">
        <v>214</v>
      </c>
      <c r="AL86" s="258"/>
      <c r="AM86" s="258"/>
      <c r="AN86" s="258"/>
      <c r="AO86" s="259"/>
    </row>
    <row r="87" spans="1:49" ht="64" customHeight="1">
      <c r="AK87" s="155" t="s">
        <v>183</v>
      </c>
      <c r="AL87" s="133" t="s">
        <v>185</v>
      </c>
      <c r="AM87" s="133" t="s">
        <v>184</v>
      </c>
      <c r="AN87" s="133" t="s">
        <v>265</v>
      </c>
      <c r="AO87" s="133" t="s">
        <v>266</v>
      </c>
      <c r="AP87" s="133" t="s">
        <v>267</v>
      </c>
      <c r="AQ87" s="133" t="s">
        <v>268</v>
      </c>
      <c r="AR87" s="133" t="s">
        <v>269</v>
      </c>
      <c r="AS87" s="133" t="s">
        <v>259</v>
      </c>
      <c r="AT87" s="133" t="s">
        <v>270</v>
      </c>
      <c r="AU87" s="133" t="s">
        <v>271</v>
      </c>
      <c r="AV87" s="133" t="s">
        <v>272</v>
      </c>
      <c r="AW87" s="156" t="s">
        <v>273</v>
      </c>
    </row>
    <row r="88" spans="1:49" ht="31" customHeight="1">
      <c r="AK88" s="161">
        <v>1</v>
      </c>
      <c r="AL88" s="186" t="s">
        <v>14</v>
      </c>
      <c r="AM88" s="149">
        <f>Y11</f>
        <v>125.76488564322833</v>
      </c>
      <c r="AN88" s="149">
        <f>M11</f>
        <v>110.23848621446582</v>
      </c>
      <c r="AO88" s="149">
        <f>AM88*AN88</f>
        <v>13864.130612244897</v>
      </c>
      <c r="AP88" s="149">
        <f>W11</f>
        <v>10.5</v>
      </c>
      <c r="AQ88" s="149">
        <f>AP88^2*PI()</f>
        <v>346.36059005827468</v>
      </c>
      <c r="AR88" s="149">
        <f t="shared" ref="AR88:AR93" si="207">AM88*AQ88</f>
        <v>43560</v>
      </c>
      <c r="AS88" s="321"/>
      <c r="AT88" s="222">
        <f>AT94-SUM(AT89:AT93)</f>
        <v>29.6</v>
      </c>
      <c r="AU88" s="149">
        <f t="shared" ref="AU88:AU92" si="208">AT88*AN88</f>
        <v>3263.0591919481885</v>
      </c>
      <c r="AV88" s="149">
        <f>AT88*AQ88</f>
        <v>10252.273465724931</v>
      </c>
      <c r="AW88" s="172">
        <f>AV88</f>
        <v>10252.273465724931</v>
      </c>
    </row>
    <row r="89" spans="1:49">
      <c r="AK89" s="161">
        <v>2</v>
      </c>
      <c r="AL89" s="54" t="s">
        <v>14</v>
      </c>
      <c r="AM89" s="149">
        <f>Y25</f>
        <v>76.079992549607255</v>
      </c>
      <c r="AN89" s="149">
        <f>M25</f>
        <v>170.40653051540534</v>
      </c>
      <c r="AO89" s="149">
        <f>AM89*AN89</f>
        <v>12964.527572016459</v>
      </c>
      <c r="AP89" s="149">
        <f>W25</f>
        <v>13.5</v>
      </c>
      <c r="AQ89" s="149">
        <f t="shared" ref="AQ89:AQ92" si="209">AP89^2*PI()</f>
        <v>572.55526111673976</v>
      </c>
      <c r="AR89" s="149">
        <f t="shared" si="207"/>
        <v>43560</v>
      </c>
      <c r="AS89" s="321">
        <v>0.18</v>
      </c>
      <c r="AT89" s="222">
        <f>AS89*$AT$94</f>
        <v>15.12</v>
      </c>
      <c r="AU89" s="149">
        <f t="shared" si="208"/>
        <v>2576.5467413929287</v>
      </c>
      <c r="AV89" s="149">
        <f t="shared" ref="AV89:AV91" si="210">AT89*AQ89</f>
        <v>8657.0355480851049</v>
      </c>
      <c r="AW89" s="172">
        <f>AV89+AW88</f>
        <v>18909.309013810038</v>
      </c>
    </row>
    <row r="90" spans="1:49">
      <c r="AK90" s="161">
        <v>3</v>
      </c>
      <c r="AL90" s="54" t="s">
        <v>14</v>
      </c>
      <c r="AM90" s="149">
        <f>Y39</f>
        <v>70.742748174315935</v>
      </c>
      <c r="AN90" s="149">
        <f>M39</f>
        <v>254.89005689617056</v>
      </c>
      <c r="AO90" s="149">
        <f t="shared" ref="AO90:AO92" si="211">AM90*AN90</f>
        <v>18031.623107142856</v>
      </c>
      <c r="AP90" s="149">
        <f>W39</f>
        <v>14</v>
      </c>
      <c r="AQ90" s="149">
        <f t="shared" si="209"/>
        <v>615.75216010359941</v>
      </c>
      <c r="AR90" s="149">
        <f t="shared" si="207"/>
        <v>43560</v>
      </c>
      <c r="AS90" s="321">
        <v>0.3</v>
      </c>
      <c r="AT90" s="222">
        <f t="shared" ref="AT90:AT91" si="212">AS90*$AT$94</f>
        <v>25.2</v>
      </c>
      <c r="AU90" s="149">
        <f t="shared" si="208"/>
        <v>6423.2294337834983</v>
      </c>
      <c r="AV90" s="149">
        <f t="shared" si="210"/>
        <v>15516.954434610705</v>
      </c>
      <c r="AW90" s="172">
        <f t="shared" ref="AW90:AW91" si="213">AV90+AW89</f>
        <v>34426.263448420745</v>
      </c>
    </row>
    <row r="91" spans="1:49">
      <c r="AK91" s="161">
        <v>4</v>
      </c>
      <c r="AL91" s="54" t="s">
        <v>14</v>
      </c>
      <c r="AM91" s="149">
        <f>Y53</f>
        <v>65.948055372965143</v>
      </c>
      <c r="AN91" s="149">
        <f>M53</f>
        <v>345.19678705975247</v>
      </c>
      <c r="AO91" s="149">
        <f t="shared" si="211"/>
        <v>22765.056827586213</v>
      </c>
      <c r="AP91" s="149">
        <f>W53</f>
        <v>14.5</v>
      </c>
      <c r="AQ91" s="149">
        <f t="shared" si="209"/>
        <v>660.51985541725401</v>
      </c>
      <c r="AR91" s="149">
        <f t="shared" si="207"/>
        <v>43560</v>
      </c>
      <c r="AS91" s="321">
        <v>0.12</v>
      </c>
      <c r="AT91" s="222">
        <f t="shared" si="212"/>
        <v>10.08</v>
      </c>
      <c r="AU91" s="149">
        <f t="shared" si="208"/>
        <v>3479.5836135623049</v>
      </c>
      <c r="AV91" s="149">
        <f t="shared" si="210"/>
        <v>6658.0401426059207</v>
      </c>
      <c r="AW91" s="172">
        <f t="shared" si="213"/>
        <v>41084.303591026663</v>
      </c>
    </row>
    <row r="92" spans="1:49">
      <c r="AK92" s="161">
        <v>5</v>
      </c>
      <c r="AL92" s="54" t="s">
        <v>14</v>
      </c>
      <c r="AM92" s="149">
        <f>Y67</f>
        <v>34.663946605414807</v>
      </c>
      <c r="AN92" s="149">
        <f>M67</f>
        <v>615.77151427784111</v>
      </c>
      <c r="AO92" s="149">
        <f t="shared" si="211"/>
        <v>21345.070892062507</v>
      </c>
      <c r="AP92" s="149">
        <f>W67</f>
        <v>20</v>
      </c>
      <c r="AQ92" s="149">
        <f t="shared" si="209"/>
        <v>1256.6370614359173</v>
      </c>
      <c r="AR92" s="149">
        <f t="shared" si="207"/>
        <v>43560.000000000007</v>
      </c>
      <c r="AS92" s="321"/>
      <c r="AT92" s="222">
        <v>3</v>
      </c>
      <c r="AU92" s="149">
        <f t="shared" si="208"/>
        <v>1847.3145428335233</v>
      </c>
      <c r="AV92" s="149"/>
      <c r="AW92" s="172"/>
    </row>
    <row r="93" spans="1:49" ht="22" thickBot="1">
      <c r="AK93" s="162">
        <v>6</v>
      </c>
      <c r="AL93" s="163" t="s">
        <v>14</v>
      </c>
      <c r="AM93" s="164">
        <f>Y81</f>
        <v>31.441221410807081</v>
      </c>
      <c r="AN93" s="164">
        <f>M81</f>
        <v>731.93154201566711</v>
      </c>
      <c r="AO93" s="164">
        <f>AM93*AN93</f>
        <v>23012.821670068035</v>
      </c>
      <c r="AP93" s="164">
        <f>W81</f>
        <v>21</v>
      </c>
      <c r="AQ93" s="164">
        <f>AP93^2*PI()</f>
        <v>1385.4423602330987</v>
      </c>
      <c r="AR93" s="164">
        <f t="shared" si="207"/>
        <v>43560</v>
      </c>
      <c r="AS93" s="341"/>
      <c r="AT93" s="223">
        <v>1</v>
      </c>
      <c r="AU93" s="164">
        <f>AT93*AN93</f>
        <v>731.93154201566711</v>
      </c>
      <c r="AV93" s="164">
        <f>AT93*AQ93</f>
        <v>1385.4423602330987</v>
      </c>
      <c r="AW93" s="173">
        <f>AV93+AW91</f>
        <v>42469.745951259763</v>
      </c>
    </row>
    <row r="94" spans="1:49" ht="22" thickBot="1">
      <c r="AM94" s="323">
        <f>SUM(AM88:AM93)</f>
        <v>404.64084975633858</v>
      </c>
      <c r="AR94" s="159" t="s">
        <v>219</v>
      </c>
      <c r="AS94" s="320"/>
      <c r="AT94" s="358">
        <v>84</v>
      </c>
      <c r="AU94" s="160">
        <f>SUM(AU88:AU93)</f>
        <v>18321.665065536112</v>
      </c>
      <c r="AV94" s="160">
        <f>AU94*12.5/2000</f>
        <v>114.5104066596007</v>
      </c>
    </row>
    <row r="95" spans="1:49" ht="25" customHeight="1" thickBot="1">
      <c r="AM95" s="324">
        <f>AM94/6</f>
        <v>67.44014162605643</v>
      </c>
      <c r="AR95" s="159" t="s">
        <v>258</v>
      </c>
      <c r="AS95" s="320"/>
      <c r="AT95" s="37">
        <f>SUM(AT89:AT93)+IF(AT88&gt;0,AT88,0)</f>
        <v>84</v>
      </c>
      <c r="AU95" s="326">
        <f>SUM(AU89:AU93)+IF(AT88&gt;0,AU88,0)</f>
        <v>18321.665065536108</v>
      </c>
      <c r="AV95" s="160">
        <f>AU95*12.5/2000</f>
        <v>114.51040665960068</v>
      </c>
    </row>
    <row r="96" spans="1:49" ht="22" thickBot="1">
      <c r="AR96" s="37" t="s">
        <v>241</v>
      </c>
      <c r="AS96" s="37"/>
      <c r="AT96" s="37"/>
      <c r="AU96" s="215">
        <f>AU95*R1/100*T1/2000</f>
        <v>114.51040665960068</v>
      </c>
    </row>
    <row r="97" spans="37:52" ht="22" thickBot="1">
      <c r="AR97" s="37" t="s">
        <v>260</v>
      </c>
      <c r="AS97" s="37"/>
      <c r="AT97" s="37"/>
      <c r="AU97" s="215">
        <f>AW97</f>
        <v>10.5</v>
      </c>
      <c r="AW97" s="38">
        <f>10*100*42*0.5/2000</f>
        <v>10.5</v>
      </c>
    </row>
    <row r="98" spans="37:52" ht="22" thickBot="1">
      <c r="AR98" s="37" t="s">
        <v>261</v>
      </c>
      <c r="AS98" s="37"/>
      <c r="AT98" s="37"/>
      <c r="AU98" s="215">
        <f>SUM(AU96:AU97)</f>
        <v>125.01040665960068</v>
      </c>
    </row>
    <row r="99" spans="37:52" ht="22" thickBot="1"/>
    <row r="100" spans="37:52" ht="27" thickBot="1">
      <c r="AK100" s="257" t="s">
        <v>215</v>
      </c>
      <c r="AL100" s="258"/>
      <c r="AM100" s="258"/>
      <c r="AN100" s="258"/>
      <c r="AO100" s="259"/>
    </row>
    <row r="101" spans="37:52" ht="61" customHeight="1">
      <c r="AK101" s="155" t="s">
        <v>183</v>
      </c>
      <c r="AL101" s="133" t="s">
        <v>185</v>
      </c>
      <c r="AM101" s="133" t="s">
        <v>184</v>
      </c>
      <c r="AN101" s="133" t="s">
        <v>265</v>
      </c>
      <c r="AO101" s="133" t="s">
        <v>266</v>
      </c>
      <c r="AP101" s="133" t="s">
        <v>267</v>
      </c>
      <c r="AQ101" s="133" t="s">
        <v>268</v>
      </c>
      <c r="AR101" s="133" t="s">
        <v>269</v>
      </c>
      <c r="AS101" s="133" t="s">
        <v>259</v>
      </c>
      <c r="AT101" s="133" t="s">
        <v>270</v>
      </c>
      <c r="AU101" s="133" t="s">
        <v>271</v>
      </c>
      <c r="AV101" s="133" t="s">
        <v>272</v>
      </c>
      <c r="AW101" s="156" t="s">
        <v>273</v>
      </c>
    </row>
    <row r="102" spans="37:52">
      <c r="AK102" s="161">
        <v>1</v>
      </c>
      <c r="AL102" s="186" t="s">
        <v>15</v>
      </c>
      <c r="AM102" s="149">
        <f>Y12</f>
        <v>114.59155902616465</v>
      </c>
      <c r="AN102" s="149">
        <f>M12</f>
        <v>123.33500058911831</v>
      </c>
      <c r="AO102" s="149">
        <f>AM102*AN102</f>
        <v>14133.150000000001</v>
      </c>
      <c r="AP102" s="149">
        <f>W12</f>
        <v>11</v>
      </c>
      <c r="AQ102" s="149">
        <f>AP102^2*PI()</f>
        <v>380.13271108436498</v>
      </c>
      <c r="AR102" s="149">
        <f t="shared" ref="AR102:AR107" si="214">AM102*AQ102</f>
        <v>43560</v>
      </c>
      <c r="AS102" s="321"/>
      <c r="AT102" s="222">
        <f>AT108-SUM(AT103:AT107)</f>
        <v>24</v>
      </c>
      <c r="AU102" s="149">
        <f t="shared" ref="AU102:AU106" si="215">AT102*AN102</f>
        <v>2960.0400141388395</v>
      </c>
      <c r="AV102" s="149">
        <f>AT102*AQ102</f>
        <v>9123.1850660247601</v>
      </c>
      <c r="AW102" s="172">
        <f>AV102</f>
        <v>9123.1850660247601</v>
      </c>
    </row>
    <row r="103" spans="37:52">
      <c r="AK103" s="161">
        <v>2</v>
      </c>
      <c r="AL103" s="54" t="s">
        <v>15</v>
      </c>
      <c r="AM103" s="149">
        <f>Y26</f>
        <v>70.742748174315935</v>
      </c>
      <c r="AN103" s="149">
        <f>M26</f>
        <v>187.96117430501201</v>
      </c>
      <c r="AO103" s="149">
        <f>AM103*AN103</f>
        <v>13296.890020408167</v>
      </c>
      <c r="AP103" s="149">
        <f>W26</f>
        <v>14</v>
      </c>
      <c r="AQ103" s="149">
        <f t="shared" ref="AQ103:AQ106" si="216">AP103^2*PI()</f>
        <v>615.75216010359941</v>
      </c>
      <c r="AR103" s="149">
        <f t="shared" si="214"/>
        <v>43560</v>
      </c>
      <c r="AS103" s="321">
        <v>0.17</v>
      </c>
      <c r="AT103" s="222">
        <f>AS103*$AT$108</f>
        <v>11.9</v>
      </c>
      <c r="AU103" s="149">
        <f t="shared" si="215"/>
        <v>2236.737974229643</v>
      </c>
      <c r="AV103" s="149">
        <f t="shared" ref="AV103:AV106" si="217">AT103*AQ103</f>
        <v>7327.4507052328336</v>
      </c>
      <c r="AW103" s="172">
        <f>AV103+AW102</f>
        <v>16450.635771257592</v>
      </c>
    </row>
    <row r="104" spans="37:52" ht="22" thickBot="1">
      <c r="AK104" s="161">
        <v>3</v>
      </c>
      <c r="AL104" s="54" t="s">
        <v>15</v>
      </c>
      <c r="AM104" s="149">
        <f>Y40</f>
        <v>61.62479396518188</v>
      </c>
      <c r="AN104" s="149">
        <f>M40</f>
        <v>297.09272034798545</v>
      </c>
      <c r="AO104" s="149">
        <f t="shared" ref="AO104:AO106" si="218">AM104*AN104</f>
        <v>18308.277680000003</v>
      </c>
      <c r="AP104" s="149">
        <f>W40</f>
        <v>15</v>
      </c>
      <c r="AQ104" s="149">
        <f t="shared" si="216"/>
        <v>706.85834705770344</v>
      </c>
      <c r="AR104" s="149">
        <f t="shared" si="214"/>
        <v>43560</v>
      </c>
      <c r="AS104" s="321">
        <v>0.3</v>
      </c>
      <c r="AT104" s="222">
        <f t="shared" ref="AT104:AT105" si="219">AS104*$AT$108</f>
        <v>21</v>
      </c>
      <c r="AU104" s="149">
        <f t="shared" si="215"/>
        <v>6238.9471273076942</v>
      </c>
      <c r="AV104" s="149">
        <f t="shared" si="217"/>
        <v>14844.025288211773</v>
      </c>
      <c r="AW104" s="172">
        <f t="shared" ref="AW104:AW107" si="220">AV104+AW103</f>
        <v>31294.661059469363</v>
      </c>
    </row>
    <row r="105" spans="37:52" ht="22" thickBot="1">
      <c r="AK105" s="161">
        <v>4</v>
      </c>
      <c r="AL105" s="54" t="s">
        <v>15</v>
      </c>
      <c r="AM105" s="149">
        <f>Y54</f>
        <v>57.713126502251498</v>
      </c>
      <c r="AN105" s="149">
        <f>M54</f>
        <v>387.44728125971818</v>
      </c>
      <c r="AO105" s="149">
        <f t="shared" si="218"/>
        <v>22360.793956295533</v>
      </c>
      <c r="AP105" s="149">
        <f>W54</f>
        <v>15.5</v>
      </c>
      <c r="AQ105" s="149">
        <f t="shared" si="216"/>
        <v>754.76763502494782</v>
      </c>
      <c r="AR105" s="149">
        <f t="shared" si="214"/>
        <v>43560</v>
      </c>
      <c r="AS105" s="321">
        <v>0.13</v>
      </c>
      <c r="AT105" s="222">
        <f t="shared" si="219"/>
        <v>9.1</v>
      </c>
      <c r="AU105" s="149">
        <f t="shared" si="215"/>
        <v>3525.7702594634352</v>
      </c>
      <c r="AV105" s="149">
        <f t="shared" si="217"/>
        <v>6868.3854787270247</v>
      </c>
      <c r="AW105" s="172">
        <f t="shared" si="220"/>
        <v>38163.046538196388</v>
      </c>
      <c r="AY105" s="327" t="s">
        <v>275</v>
      </c>
      <c r="AZ105" s="328">
        <f>(AU98+AU112)/2</f>
        <v>124.53203378763473</v>
      </c>
    </row>
    <row r="106" spans="37:52" ht="22" thickBot="1">
      <c r="AK106" s="161">
        <v>5</v>
      </c>
      <c r="AL106" s="54" t="s">
        <v>15</v>
      </c>
      <c r="AM106" s="149">
        <f>Y68</f>
        <v>31.441221410807081</v>
      </c>
      <c r="AN106" s="149">
        <f>M68</f>
        <v>680.41301281359858</v>
      </c>
      <c r="AO106" s="149">
        <f t="shared" si="218"/>
        <v>21393.016186666668</v>
      </c>
      <c r="AP106" s="149">
        <f>W68</f>
        <v>21</v>
      </c>
      <c r="AQ106" s="149">
        <f t="shared" si="216"/>
        <v>1385.4423602330987</v>
      </c>
      <c r="AR106" s="149">
        <f t="shared" si="214"/>
        <v>43560</v>
      </c>
      <c r="AS106" s="321"/>
      <c r="AT106" s="222">
        <v>3</v>
      </c>
      <c r="AU106" s="149">
        <f t="shared" si="215"/>
        <v>2041.2390384407959</v>
      </c>
      <c r="AV106" s="149">
        <f t="shared" si="217"/>
        <v>4156.3270806992959</v>
      </c>
      <c r="AW106" s="172">
        <f t="shared" si="220"/>
        <v>42319.373618895683</v>
      </c>
      <c r="AY106" s="77" t="s">
        <v>276</v>
      </c>
      <c r="AZ106" s="328">
        <f>AX42</f>
        <v>41.218358738081662</v>
      </c>
    </row>
    <row r="107" spans="37:52" ht="22" thickBot="1">
      <c r="AK107" s="162">
        <v>6</v>
      </c>
      <c r="AL107" s="163" t="s">
        <v>15</v>
      </c>
      <c r="AM107" s="164">
        <f>Y82</f>
        <v>26.21092370919834</v>
      </c>
      <c r="AN107" s="164">
        <f>M82</f>
        <v>829.85133292660112</v>
      </c>
      <c r="AO107" s="164">
        <f>AM107*AN107</f>
        <v>21751.169977315694</v>
      </c>
      <c r="AP107" s="164">
        <f>W82</f>
        <v>23</v>
      </c>
      <c r="AQ107" s="164">
        <f>AP107^2*PI()</f>
        <v>1661.9025137490005</v>
      </c>
      <c r="AR107" s="164">
        <f t="shared" si="214"/>
        <v>43560</v>
      </c>
      <c r="AS107" s="341"/>
      <c r="AT107" s="223">
        <v>1</v>
      </c>
      <c r="AU107" s="164">
        <f>AT107*AN107</f>
        <v>829.85133292660112</v>
      </c>
      <c r="AV107" s="164">
        <f>AT107*AQ107</f>
        <v>1661.9025137490005</v>
      </c>
      <c r="AW107" s="173">
        <f t="shared" si="220"/>
        <v>43981.276132644685</v>
      </c>
      <c r="AY107" s="77">
        <f>AZ105/AZ106</f>
        <v>3.0212758974456575</v>
      </c>
    </row>
    <row r="108" spans="37:52" ht="22" thickBot="1">
      <c r="AM108" s="323">
        <f>SUM(AM102:AM107)</f>
        <v>362.3243727879194</v>
      </c>
      <c r="AR108" s="37"/>
      <c r="AS108" s="320"/>
      <c r="AT108" s="358">
        <v>70</v>
      </c>
      <c r="AU108" s="160">
        <f>SUM(AU102:AU107)</f>
        <v>17832.585746507011</v>
      </c>
      <c r="AV108" s="160">
        <f>AU108*12.5/2000</f>
        <v>111.45366091566882</v>
      </c>
    </row>
    <row r="109" spans="37:52" ht="22" thickBot="1">
      <c r="AM109" s="324">
        <f>AM108/6</f>
        <v>60.387395464653231</v>
      </c>
      <c r="AR109" s="37" t="s">
        <v>258</v>
      </c>
      <c r="AS109" s="320"/>
      <c r="AT109" s="325">
        <v>71</v>
      </c>
      <c r="AU109" s="326">
        <f>SUM(AU103:AU107)+IF(AT102&gt;0,AU102,0)</f>
        <v>17832.585746507008</v>
      </c>
      <c r="AV109" s="160">
        <f>AU109*12.5/2000</f>
        <v>111.45366091566879</v>
      </c>
    </row>
    <row r="110" spans="37:52" ht="22" thickBot="1">
      <c r="AR110" s="37" t="s">
        <v>262</v>
      </c>
      <c r="AS110" s="37"/>
      <c r="AT110" s="37"/>
      <c r="AU110" s="215">
        <f>AU109*R1*T1/100/2000</f>
        <v>111.45366091566879</v>
      </c>
    </row>
    <row r="111" spans="37:52" ht="22" thickBot="1">
      <c r="AR111" s="37" t="s">
        <v>263</v>
      </c>
      <c r="AS111" s="37"/>
      <c r="AT111" s="37"/>
      <c r="AU111" s="215">
        <f>AW111</f>
        <v>12.6</v>
      </c>
      <c r="AW111" s="38">
        <f>10*120*42*0.5/2000</f>
        <v>12.6</v>
      </c>
    </row>
    <row r="112" spans="37:52" ht="22" thickBot="1">
      <c r="AR112" s="37" t="s">
        <v>264</v>
      </c>
      <c r="AS112" s="37"/>
      <c r="AT112" s="37"/>
      <c r="AU112" s="215">
        <f>SUM(AU110:AU111)</f>
        <v>124.05366091566879</v>
      </c>
    </row>
    <row r="113" spans="9:49" ht="22" thickBot="1"/>
    <row r="114" spans="9:49" ht="27" thickBot="1">
      <c r="AK114" s="257" t="s">
        <v>216</v>
      </c>
      <c r="AL114" s="258"/>
      <c r="AM114" s="258"/>
      <c r="AN114" s="258"/>
      <c r="AO114" s="259"/>
    </row>
    <row r="115" spans="9:49" ht="88">
      <c r="AK115" s="155" t="s">
        <v>183</v>
      </c>
      <c r="AL115" s="133" t="s">
        <v>185</v>
      </c>
      <c r="AM115" s="133" t="s">
        <v>184</v>
      </c>
      <c r="AN115" s="133" t="s">
        <v>265</v>
      </c>
      <c r="AO115" s="133" t="s">
        <v>266</v>
      </c>
      <c r="AP115" s="133" t="s">
        <v>267</v>
      </c>
      <c r="AQ115" s="133" t="s">
        <v>268</v>
      </c>
      <c r="AR115" s="133" t="s">
        <v>269</v>
      </c>
      <c r="AS115" s="133" t="s">
        <v>259</v>
      </c>
      <c r="AT115" s="133" t="s">
        <v>270</v>
      </c>
      <c r="AU115" s="133" t="s">
        <v>271</v>
      </c>
      <c r="AV115" s="133" t="s">
        <v>272</v>
      </c>
      <c r="AW115" s="156" t="s">
        <v>273</v>
      </c>
    </row>
    <row r="116" spans="9:49">
      <c r="AK116" s="161">
        <v>1</v>
      </c>
      <c r="AL116" s="186" t="s">
        <v>16</v>
      </c>
      <c r="AM116" s="149">
        <f>Y13</f>
        <v>109.55518927143446</v>
      </c>
      <c r="AN116" s="149">
        <f>M13</f>
        <v>132.50996302906506</v>
      </c>
      <c r="AO116" s="149">
        <f>AM116*AN116</f>
        <v>14517.154080000006</v>
      </c>
      <c r="AP116" s="149">
        <f>W13</f>
        <v>11.25</v>
      </c>
      <c r="AQ116" s="149">
        <f>AP116^2*PI()</f>
        <v>397.60782021995817</v>
      </c>
      <c r="AR116" s="149">
        <f t="shared" ref="AR116:AR121" si="221">AM116*AQ116</f>
        <v>43560</v>
      </c>
      <c r="AS116" s="321"/>
      <c r="AT116" s="222">
        <f>AT122-SUM(AT117:AT121)</f>
        <v>18.799999999999997</v>
      </c>
      <c r="AU116" s="149">
        <f t="shared" ref="AU116:AU120" si="222">AT116*AN116</f>
        <v>2491.187304946423</v>
      </c>
      <c r="AV116" s="149">
        <f>AT116*AQ116</f>
        <v>7475.0270201352123</v>
      </c>
      <c r="AW116" s="172">
        <f>AV116</f>
        <v>7475.0270201352123</v>
      </c>
    </row>
    <row r="117" spans="9:49" ht="22" thickBot="1">
      <c r="AK117" s="161">
        <v>2</v>
      </c>
      <c r="AL117" s="54" t="s">
        <v>16</v>
      </c>
      <c r="AM117" s="149">
        <f>Y27</f>
        <v>68.282320183027011</v>
      </c>
      <c r="AN117" s="149">
        <f>M27</f>
        <v>199.99573218798068</v>
      </c>
      <c r="AO117" s="149">
        <f>AM117*AN117</f>
        <v>13656.172620498617</v>
      </c>
      <c r="AP117" s="149">
        <f>W27</f>
        <v>14.25</v>
      </c>
      <c r="AQ117" s="149">
        <f t="shared" ref="AQ117:AQ120" si="223">AP117^2*PI()</f>
        <v>637.93965821957738</v>
      </c>
      <c r="AR117" s="149">
        <f t="shared" si="221"/>
        <v>43560</v>
      </c>
      <c r="AS117" s="321">
        <v>0.17</v>
      </c>
      <c r="AT117" s="222">
        <f>AS117*$AT$122</f>
        <v>9.6900000000000013</v>
      </c>
      <c r="AU117" s="149">
        <f t="shared" si="222"/>
        <v>1937.958644901533</v>
      </c>
      <c r="AV117" s="149">
        <f t="shared" ref="AV117:AV120" si="224">AT117*AQ117</f>
        <v>6181.635288147706</v>
      </c>
      <c r="AW117" s="172">
        <f>AV117+AW116</f>
        <v>13656.662308282917</v>
      </c>
    </row>
    <row r="118" spans="9:49" ht="22" thickBot="1">
      <c r="I118" s="129" t="s">
        <v>200</v>
      </c>
      <c r="J118" s="213"/>
      <c r="K118" s="211"/>
      <c r="L118" s="214"/>
      <c r="M118" s="212"/>
      <c r="O118" s="243" t="s">
        <v>200</v>
      </c>
      <c r="P118" s="262"/>
      <c r="Q118" s="263"/>
      <c r="R118" s="264"/>
      <c r="S118" s="265"/>
      <c r="U118" s="129" t="s">
        <v>225</v>
      </c>
      <c r="V118" s="213"/>
      <c r="W118" s="215"/>
      <c r="AK118" s="161">
        <v>3</v>
      </c>
      <c r="AL118" s="54" t="s">
        <v>16</v>
      </c>
      <c r="AM118" s="149">
        <f>Y41</f>
        <v>54.16241657096063</v>
      </c>
      <c r="AN118" s="149">
        <f>M41</f>
        <v>321.49608193731063</v>
      </c>
      <c r="AO118" s="149">
        <f t="shared" ref="AO118:AO120" si="225">AM118*AN118</f>
        <v>17413.004715820309</v>
      </c>
      <c r="AP118" s="149">
        <f>W41</f>
        <v>16</v>
      </c>
      <c r="AQ118" s="149">
        <f t="shared" si="223"/>
        <v>804.24771931898704</v>
      </c>
      <c r="AR118" s="149">
        <f t="shared" si="221"/>
        <v>43560</v>
      </c>
      <c r="AS118" s="321">
        <v>0.3</v>
      </c>
      <c r="AT118" s="222">
        <f t="shared" ref="AT118:AT119" si="226">AS118*$AT$122</f>
        <v>17.099999999999998</v>
      </c>
      <c r="AU118" s="149">
        <f t="shared" si="222"/>
        <v>5497.5830011280113</v>
      </c>
      <c r="AV118" s="149">
        <f t="shared" si="224"/>
        <v>13752.636000354676</v>
      </c>
      <c r="AW118" s="172">
        <f t="shared" ref="AW118:AW121" si="227">AV118+AW117</f>
        <v>27409.298308637593</v>
      </c>
    </row>
    <row r="119" spans="9:49" ht="111" thickBot="1">
      <c r="I119" s="188" t="s">
        <v>243</v>
      </c>
      <c r="J119" s="189" t="s">
        <v>1</v>
      </c>
      <c r="K119" s="189" t="s">
        <v>191</v>
      </c>
      <c r="L119" s="189" t="s">
        <v>192</v>
      </c>
      <c r="M119" s="190" t="s">
        <v>1</v>
      </c>
      <c r="N119" s="187"/>
      <c r="O119" s="188" t="s">
        <v>243</v>
      </c>
      <c r="P119" s="189" t="s">
        <v>1</v>
      </c>
      <c r="Q119" s="189" t="s">
        <v>191</v>
      </c>
      <c r="R119" s="189" t="s">
        <v>192</v>
      </c>
      <c r="S119" s="272" t="s">
        <v>1</v>
      </c>
      <c r="U119" s="298" t="s">
        <v>237</v>
      </c>
      <c r="V119" s="150" t="s">
        <v>186</v>
      </c>
      <c r="W119" s="216" t="s">
        <v>239</v>
      </c>
      <c r="X119" s="150" t="s">
        <v>186</v>
      </c>
      <c r="Y119" s="150" t="s">
        <v>292</v>
      </c>
      <c r="AK119" s="161">
        <v>4</v>
      </c>
      <c r="AL119" s="54" t="s">
        <v>16</v>
      </c>
      <c r="AM119" s="149">
        <f>Y55</f>
        <v>50.929581789406505</v>
      </c>
      <c r="AN119" s="149">
        <f>M55</f>
        <v>409.79989952207342</v>
      </c>
      <c r="AO119" s="149">
        <f t="shared" si="225"/>
        <v>20870.937500000007</v>
      </c>
      <c r="AP119" s="149">
        <f>W55</f>
        <v>16.5</v>
      </c>
      <c r="AQ119" s="149">
        <f t="shared" si="223"/>
        <v>855.2985999398212</v>
      </c>
      <c r="AR119" s="149">
        <f t="shared" si="221"/>
        <v>43560</v>
      </c>
      <c r="AS119" s="321">
        <v>0.13</v>
      </c>
      <c r="AT119" s="222">
        <f t="shared" si="226"/>
        <v>7.41</v>
      </c>
      <c r="AU119" s="149">
        <f t="shared" si="222"/>
        <v>3036.6172554585642</v>
      </c>
      <c r="AV119" s="149">
        <f t="shared" si="224"/>
        <v>6337.7626255540754</v>
      </c>
      <c r="AW119" s="172">
        <f t="shared" si="227"/>
        <v>33747.060934191672</v>
      </c>
    </row>
    <row r="120" spans="9:49" ht="24">
      <c r="I120" s="191" t="s">
        <v>242</v>
      </c>
      <c r="J120" s="192">
        <v>60</v>
      </c>
      <c r="K120" s="193">
        <f>M7</f>
        <v>31.181092485042093</v>
      </c>
      <c r="L120" s="193">
        <f>K120</f>
        <v>31.181092485042093</v>
      </c>
      <c r="M120" s="194" t="s">
        <v>187</v>
      </c>
      <c r="O120" s="191" t="s">
        <v>242</v>
      </c>
      <c r="P120" s="273">
        <v>40</v>
      </c>
      <c r="Q120" s="270">
        <f>M6</f>
        <v>10.676506283684063</v>
      </c>
      <c r="R120" s="270">
        <f>Q120</f>
        <v>10.676506283684063</v>
      </c>
      <c r="S120" s="271" t="s">
        <v>193</v>
      </c>
      <c r="U120" s="180" t="s">
        <v>3</v>
      </c>
      <c r="V120" s="181" t="s">
        <v>3</v>
      </c>
      <c r="W120" s="182" t="s">
        <v>3</v>
      </c>
      <c r="AK120" s="161">
        <v>5</v>
      </c>
      <c r="AL120" s="54" t="s">
        <v>16</v>
      </c>
      <c r="AM120" s="149">
        <f>Y69</f>
        <v>28.647889756541161</v>
      </c>
      <c r="AN120" s="149">
        <f>+M69</f>
        <v>721.28233721934009</v>
      </c>
      <c r="AO120" s="149">
        <f t="shared" si="225"/>
        <v>20663.21688</v>
      </c>
      <c r="AP120" s="149">
        <f>W69</f>
        <v>22</v>
      </c>
      <c r="AQ120" s="149">
        <f t="shared" si="223"/>
        <v>1520.5308443374599</v>
      </c>
      <c r="AR120" s="149">
        <f t="shared" si="221"/>
        <v>43560</v>
      </c>
      <c r="AS120" s="321"/>
      <c r="AT120" s="222">
        <v>3</v>
      </c>
      <c r="AU120" s="149">
        <f t="shared" si="222"/>
        <v>2163.8470116580202</v>
      </c>
      <c r="AV120" s="149">
        <f t="shared" si="224"/>
        <v>4561.59253301238</v>
      </c>
      <c r="AW120" s="172">
        <f t="shared" si="227"/>
        <v>38308.653467204051</v>
      </c>
    </row>
    <row r="121" spans="9:49" ht="25" thickBot="1">
      <c r="I121" s="195"/>
      <c r="J121" s="196">
        <v>120</v>
      </c>
      <c r="K121" s="197">
        <f>M10</f>
        <v>94.166785422093426</v>
      </c>
      <c r="L121" s="197">
        <f>K121-K120</f>
        <v>62.985692937051333</v>
      </c>
      <c r="M121" s="198" t="s">
        <v>188</v>
      </c>
      <c r="O121" s="277"/>
      <c r="P121" s="274">
        <v>80</v>
      </c>
      <c r="Q121" s="266">
        <f>M8</f>
        <v>52.914473382943612</v>
      </c>
      <c r="R121" s="266">
        <f>Q121-Q120</f>
        <v>42.237967099259549</v>
      </c>
      <c r="S121" s="267" t="s">
        <v>194</v>
      </c>
      <c r="U121" s="174" t="s">
        <v>2</v>
      </c>
      <c r="V121" s="175">
        <f>AU12</f>
        <v>1.9315413205911778</v>
      </c>
      <c r="W121" s="176">
        <f>V121</f>
        <v>1.9315413205911778</v>
      </c>
      <c r="AK121" s="162">
        <v>6</v>
      </c>
      <c r="AL121" s="163" t="s">
        <v>16</v>
      </c>
      <c r="AM121" s="164">
        <f>Y83</f>
        <v>24.072185142649172</v>
      </c>
      <c r="AN121" s="164">
        <f>M83</f>
        <v>885.58630201399876</v>
      </c>
      <c r="AO121" s="164">
        <f>AM121*AN121</f>
        <v>21317.997421875003</v>
      </c>
      <c r="AP121" s="164">
        <f>W83</f>
        <v>24</v>
      </c>
      <c r="AQ121" s="164">
        <f>AP121^2*PI()</f>
        <v>1809.5573684677208</v>
      </c>
      <c r="AR121" s="164">
        <f t="shared" si="221"/>
        <v>43560</v>
      </c>
      <c r="AS121" s="341"/>
      <c r="AT121" s="223">
        <v>1</v>
      </c>
      <c r="AU121" s="164">
        <f>AT121*AN121</f>
        <v>885.58630201399876</v>
      </c>
      <c r="AV121" s="164">
        <f>AT121*AQ121</f>
        <v>1809.5573684677208</v>
      </c>
      <c r="AW121" s="173">
        <f t="shared" si="227"/>
        <v>40118.210835671773</v>
      </c>
    </row>
    <row r="122" spans="9:49" ht="25" thickBot="1">
      <c r="I122" s="195"/>
      <c r="J122" s="196">
        <v>180</v>
      </c>
      <c r="K122" s="197">
        <f>M13</f>
        <v>132.50996302906506</v>
      </c>
      <c r="L122" s="197">
        <f>K122-K121</f>
        <v>38.343177606971636</v>
      </c>
      <c r="M122" s="198" t="s">
        <v>189</v>
      </c>
      <c r="O122" s="277"/>
      <c r="P122" s="274">
        <v>120</v>
      </c>
      <c r="Q122" s="266">
        <f>M10</f>
        <v>94.166785422093426</v>
      </c>
      <c r="R122" s="266">
        <f>Q122-Q121</f>
        <v>41.252312039149814</v>
      </c>
      <c r="S122" s="267" t="s">
        <v>195</v>
      </c>
      <c r="U122" s="174" t="s">
        <v>11</v>
      </c>
      <c r="V122" s="175">
        <f>AU26</f>
        <v>25.806743261733398</v>
      </c>
      <c r="W122" s="176">
        <f t="shared" ref="W122:W130" si="228">V122-V121</f>
        <v>23.875201941142222</v>
      </c>
      <c r="AM122" s="323">
        <f>SUM(AM116:AM121)</f>
        <v>335.64958271401889</v>
      </c>
      <c r="AR122" s="37"/>
      <c r="AS122" s="320"/>
      <c r="AT122" s="358">
        <v>57</v>
      </c>
      <c r="AU122" s="160">
        <f>SUM(AU116:AU121)</f>
        <v>16012.779520106553</v>
      </c>
      <c r="AV122" s="160">
        <f>AU122*12.5/2000</f>
        <v>100.07987200066596</v>
      </c>
    </row>
    <row r="123" spans="9:49" ht="25" thickBot="1">
      <c r="I123" s="199"/>
      <c r="J123" s="200">
        <v>200</v>
      </c>
      <c r="K123" s="201">
        <f>M14</f>
        <v>138.42284946466447</v>
      </c>
      <c r="L123" s="201">
        <f>K123-K122</f>
        <v>5.912886435599404</v>
      </c>
      <c r="M123" s="202" t="s">
        <v>17</v>
      </c>
      <c r="O123" s="277"/>
      <c r="P123" s="274">
        <v>160</v>
      </c>
      <c r="Q123" s="266">
        <f>M12</f>
        <v>123.33500058911831</v>
      </c>
      <c r="R123" s="266">
        <f>Q123-Q122</f>
        <v>29.168215167024883</v>
      </c>
      <c r="S123" s="267" t="s">
        <v>196</v>
      </c>
      <c r="T123" s="317"/>
      <c r="U123" s="174" t="s">
        <v>164</v>
      </c>
      <c r="V123" s="175">
        <f>AU40</f>
        <v>54.02997421442992</v>
      </c>
      <c r="W123" s="260">
        <f t="shared" si="228"/>
        <v>28.223230952696522</v>
      </c>
      <c r="X123" s="175">
        <f>AVERAGE(V122:V123)</f>
        <v>39.918358738081658</v>
      </c>
      <c r="Y123" s="175" t="s">
        <v>288</v>
      </c>
      <c r="AM123" s="324">
        <f>AM122/6</f>
        <v>55.941597119003148</v>
      </c>
      <c r="AR123" s="37" t="s">
        <v>258</v>
      </c>
      <c r="AS123" s="320"/>
      <c r="AT123" s="325">
        <f>SUM(AT117:AT121)+IF(AT116&gt;0,AT116,0)</f>
        <v>57</v>
      </c>
      <c r="AU123" s="326">
        <f>SUM(AU117:AU121)+IF(AT116&gt;0,AU116,0)</f>
        <v>16012.779520106549</v>
      </c>
      <c r="AV123" s="160">
        <f>AU123*12.5/2000</f>
        <v>100.07987200066593</v>
      </c>
    </row>
    <row r="124" spans="9:49" ht="25" thickBot="1">
      <c r="I124" s="195"/>
      <c r="J124" s="203"/>
      <c r="K124" s="204"/>
      <c r="L124" s="205"/>
      <c r="M124" s="206"/>
      <c r="O124" s="278"/>
      <c r="P124" s="275">
        <v>200</v>
      </c>
      <c r="Q124" s="268">
        <f>M14</f>
        <v>138.42284946466447</v>
      </c>
      <c r="R124" s="268">
        <f>Q124-Q123</f>
        <v>15.087848875546158</v>
      </c>
      <c r="S124" s="269" t="s">
        <v>197</v>
      </c>
      <c r="U124" s="174" t="s">
        <v>165</v>
      </c>
      <c r="V124" s="175">
        <f>AU54</f>
        <v>76.961357697102159</v>
      </c>
      <c r="W124" s="176">
        <f t="shared" si="228"/>
        <v>22.931383482672238</v>
      </c>
      <c r="AR124" s="37" t="s">
        <v>262</v>
      </c>
      <c r="AS124" s="37"/>
      <c r="AT124" s="37"/>
      <c r="AU124" s="215">
        <f>AU123*R1*T1/100/2000</f>
        <v>100.07987200066593</v>
      </c>
    </row>
    <row r="125" spans="9:49" ht="46" thickBot="1">
      <c r="I125" s="188" t="s">
        <v>243</v>
      </c>
      <c r="J125" s="207" t="s">
        <v>1</v>
      </c>
      <c r="K125" s="208" t="s">
        <v>191</v>
      </c>
      <c r="L125" s="208" t="s">
        <v>192</v>
      </c>
      <c r="M125" s="209" t="s">
        <v>1</v>
      </c>
      <c r="O125" s="195"/>
      <c r="P125" s="203"/>
      <c r="Q125" s="204"/>
      <c r="R125" s="205"/>
      <c r="S125" s="206"/>
      <c r="U125" s="174" t="s">
        <v>12</v>
      </c>
      <c r="V125" s="175">
        <f>AU68</f>
        <v>94.761778623529253</v>
      </c>
      <c r="W125" s="176">
        <f t="shared" si="228"/>
        <v>17.800420926427094</v>
      </c>
      <c r="X125" s="175">
        <f>V125</f>
        <v>94.761778623529253</v>
      </c>
      <c r="Y125" s="175" t="s">
        <v>289</v>
      </c>
      <c r="AA125" s="317"/>
      <c r="AR125" s="37" t="s">
        <v>263</v>
      </c>
      <c r="AS125" s="37"/>
      <c r="AT125" s="37"/>
      <c r="AU125" s="215">
        <f>AW125</f>
        <v>13.65</v>
      </c>
      <c r="AW125" s="38">
        <f>10*130*42*0.5/2000</f>
        <v>13.65</v>
      </c>
    </row>
    <row r="126" spans="9:49" ht="46" thickBot="1">
      <c r="I126" s="191" t="s">
        <v>244</v>
      </c>
      <c r="J126" s="192">
        <v>60</v>
      </c>
      <c r="K126" s="193">
        <f>M21</f>
        <v>45.565240968645888</v>
      </c>
      <c r="L126" s="193">
        <f>K126</f>
        <v>45.565240968645888</v>
      </c>
      <c r="M126" s="194" t="s">
        <v>187</v>
      </c>
      <c r="O126" s="188" t="s">
        <v>243</v>
      </c>
      <c r="P126" s="189" t="s">
        <v>1</v>
      </c>
      <c r="Q126" s="189" t="s">
        <v>191</v>
      </c>
      <c r="R126" s="189" t="s">
        <v>192</v>
      </c>
      <c r="S126" s="272" t="s">
        <v>1</v>
      </c>
      <c r="U126" s="174" t="s">
        <v>13</v>
      </c>
      <c r="V126" s="175">
        <f>AU82</f>
        <v>104.91000722432197</v>
      </c>
      <c r="W126" s="176">
        <f t="shared" si="228"/>
        <v>10.14822860079272</v>
      </c>
      <c r="AR126" s="37" t="s">
        <v>264</v>
      </c>
      <c r="AS126" s="37"/>
      <c r="AT126" s="37"/>
      <c r="AU126" s="215">
        <f>SUM(AU124:AU125)</f>
        <v>113.72987200066594</v>
      </c>
    </row>
    <row r="127" spans="9:49" ht="25" thickBot="1">
      <c r="I127" s="195"/>
      <c r="J127" s="196">
        <v>120</v>
      </c>
      <c r="K127" s="197">
        <f>M24</f>
        <v>146.15861885757059</v>
      </c>
      <c r="L127" s="197">
        <f>K127-K126</f>
        <v>100.59337788892469</v>
      </c>
      <c r="M127" s="198" t="s">
        <v>188</v>
      </c>
      <c r="O127" s="191" t="s">
        <v>244</v>
      </c>
      <c r="P127" s="273">
        <v>40</v>
      </c>
      <c r="Q127" s="270">
        <f>M20</f>
        <v>17.881107626192147</v>
      </c>
      <c r="R127" s="270">
        <f>Q127</f>
        <v>17.881107626192147</v>
      </c>
      <c r="S127" s="271" t="s">
        <v>193</v>
      </c>
      <c r="U127" s="174" t="s">
        <v>14</v>
      </c>
      <c r="V127" s="175">
        <f>AU96</f>
        <v>114.51040665960068</v>
      </c>
      <c r="W127" s="176">
        <f t="shared" si="228"/>
        <v>9.6003994352787032</v>
      </c>
    </row>
    <row r="128" spans="9:49" ht="27" thickBot="1">
      <c r="I128" s="195"/>
      <c r="J128" s="196">
        <v>180</v>
      </c>
      <c r="K128" s="197">
        <f>M27</f>
        <v>199.99573218798068</v>
      </c>
      <c r="L128" s="197">
        <f>K128-K127</f>
        <v>53.837113330410091</v>
      </c>
      <c r="M128" s="198" t="s">
        <v>189</v>
      </c>
      <c r="O128" s="277"/>
      <c r="P128" s="274">
        <v>80</v>
      </c>
      <c r="Q128" s="266">
        <f>M22</f>
        <v>84.127453033419641</v>
      </c>
      <c r="R128" s="266">
        <f>Q128-Q127</f>
        <v>66.246345407227494</v>
      </c>
      <c r="S128" s="267" t="s">
        <v>194</v>
      </c>
      <c r="U128" s="174" t="s">
        <v>15</v>
      </c>
      <c r="V128" s="175">
        <f>AU110</f>
        <v>111.45366091566879</v>
      </c>
      <c r="W128" s="176">
        <f t="shared" si="228"/>
        <v>-3.0567457439318844</v>
      </c>
      <c r="X128" s="175">
        <f>AVERAGE(V127:V128)</f>
        <v>112.98203378763473</v>
      </c>
      <c r="Y128" s="175" t="s">
        <v>290</v>
      </c>
      <c r="AK128" s="257" t="s">
        <v>217</v>
      </c>
      <c r="AL128" s="258"/>
      <c r="AM128" s="258"/>
      <c r="AN128" s="258"/>
      <c r="AO128" s="259"/>
    </row>
    <row r="129" spans="9:49" ht="66" customHeight="1" thickBot="1">
      <c r="I129" s="199"/>
      <c r="J129" s="200">
        <v>200</v>
      </c>
      <c r="K129" s="201">
        <f>M28</f>
        <v>207.65026523085268</v>
      </c>
      <c r="L129" s="201">
        <f>K129-K128</f>
        <v>7.6545330428720035</v>
      </c>
      <c r="M129" s="202" t="s">
        <v>17</v>
      </c>
      <c r="O129" s="277"/>
      <c r="P129" s="274">
        <v>120</v>
      </c>
      <c r="Q129" s="266">
        <f>M24</f>
        <v>146.15861885757059</v>
      </c>
      <c r="R129" s="266">
        <f>Q129-Q128</f>
        <v>62.031165824150946</v>
      </c>
      <c r="S129" s="267" t="s">
        <v>195</v>
      </c>
      <c r="U129" s="174" t="s">
        <v>16</v>
      </c>
      <c r="V129" s="175">
        <f>AU124</f>
        <v>100.07987200066593</v>
      </c>
      <c r="W129" s="176">
        <f t="shared" si="228"/>
        <v>-11.373788915002862</v>
      </c>
      <c r="AK129" s="155" t="s">
        <v>183</v>
      </c>
      <c r="AL129" s="133" t="s">
        <v>185</v>
      </c>
      <c r="AM129" s="133" t="s">
        <v>184</v>
      </c>
      <c r="AN129" s="133" t="s">
        <v>265</v>
      </c>
      <c r="AO129" s="133" t="s">
        <v>266</v>
      </c>
      <c r="AP129" s="133" t="s">
        <v>267</v>
      </c>
      <c r="AQ129" s="133" t="s">
        <v>268</v>
      </c>
      <c r="AR129" s="133" t="s">
        <v>269</v>
      </c>
      <c r="AS129" s="133" t="s">
        <v>259</v>
      </c>
      <c r="AT129" s="133" t="s">
        <v>270</v>
      </c>
      <c r="AU129" s="133" t="s">
        <v>271</v>
      </c>
      <c r="AV129" s="133" t="s">
        <v>272</v>
      </c>
      <c r="AW129" s="156" t="s">
        <v>273</v>
      </c>
    </row>
    <row r="130" spans="9:49" ht="25" thickBot="1">
      <c r="I130" s="195"/>
      <c r="J130" s="203"/>
      <c r="K130" s="204"/>
      <c r="L130" s="205"/>
      <c r="M130" s="206"/>
      <c r="O130" s="277"/>
      <c r="P130" s="274">
        <v>160</v>
      </c>
      <c r="Q130" s="266">
        <f>M26</f>
        <v>187.96117430501201</v>
      </c>
      <c r="R130" s="266">
        <f>Q130-Q129</f>
        <v>41.802555447441421</v>
      </c>
      <c r="S130" s="267" t="s">
        <v>196</v>
      </c>
      <c r="U130" s="177" t="s">
        <v>17</v>
      </c>
      <c r="V130" s="178">
        <f>AU138</f>
        <v>95.113197894946964</v>
      </c>
      <c r="W130" s="179">
        <f t="shared" si="228"/>
        <v>-4.9666741057189654</v>
      </c>
      <c r="X130" s="175">
        <f>AVERAGE(V129:V130)</f>
        <v>97.596534947806447</v>
      </c>
      <c r="Y130" s="175" t="s">
        <v>291</v>
      </c>
      <c r="AK130" s="161">
        <v>1</v>
      </c>
      <c r="AL130" s="186" t="s">
        <v>17</v>
      </c>
      <c r="AM130" s="149">
        <f>Y14</f>
        <v>104.84369483679336</v>
      </c>
      <c r="AN130" s="149">
        <f>M14</f>
        <v>138.42284946466447</v>
      </c>
      <c r="AO130" s="149">
        <f>AM130*AN130</f>
        <v>14512.762987712667</v>
      </c>
      <c r="AP130" s="149">
        <f>W14</f>
        <v>11.5</v>
      </c>
      <c r="AQ130" s="149">
        <f>AP130^2*PI()</f>
        <v>415.47562843725012</v>
      </c>
      <c r="AR130" s="149">
        <f t="shared" ref="AR130:AR135" si="229">AM130*AQ130</f>
        <v>43560</v>
      </c>
      <c r="AS130" s="321"/>
      <c r="AT130" s="222">
        <f>AT136-SUM(AT131:AT135)</f>
        <v>16</v>
      </c>
      <c r="AU130" s="149">
        <f t="shared" ref="AU130:AU134" si="230">AT130*AN130</f>
        <v>2214.7655914346315</v>
      </c>
      <c r="AV130" s="149">
        <f>AT130*AQ130</f>
        <v>6647.610054996002</v>
      </c>
      <c r="AW130" s="172">
        <f>AV130</f>
        <v>6647.610054996002</v>
      </c>
    </row>
    <row r="131" spans="9:49" ht="45" thickBot="1">
      <c r="I131" s="188" t="s">
        <v>243</v>
      </c>
      <c r="J131" s="207" t="s">
        <v>1</v>
      </c>
      <c r="K131" s="208" t="s">
        <v>191</v>
      </c>
      <c r="L131" s="208" t="s">
        <v>192</v>
      </c>
      <c r="M131" s="209" t="s">
        <v>1</v>
      </c>
      <c r="O131" s="278"/>
      <c r="P131" s="275">
        <v>200</v>
      </c>
      <c r="Q131" s="268">
        <f>M28</f>
        <v>207.65026523085268</v>
      </c>
      <c r="R131" s="268">
        <f>Q131-Q130</f>
        <v>19.689090925840674</v>
      </c>
      <c r="S131" s="269" t="s">
        <v>197</v>
      </c>
      <c r="AK131" s="161">
        <v>2</v>
      </c>
      <c r="AL131" s="54" t="s">
        <v>17</v>
      </c>
      <c r="AM131" s="149">
        <f>Y28</f>
        <v>68.282320183027011</v>
      </c>
      <c r="AN131" s="149">
        <f>M28</f>
        <v>207.65026523085268</v>
      </c>
      <c r="AO131" s="149">
        <f>AM131*AN131</f>
        <v>14178.841896583564</v>
      </c>
      <c r="AP131" s="149">
        <f>W28</f>
        <v>14.25</v>
      </c>
      <c r="AQ131" s="149">
        <f t="shared" ref="AQ131:AQ133" si="231">AP131^2*PI()</f>
        <v>637.93965821957738</v>
      </c>
      <c r="AR131" s="149">
        <f t="shared" si="229"/>
        <v>43560</v>
      </c>
      <c r="AS131" s="321">
        <v>0.15</v>
      </c>
      <c r="AT131" s="222">
        <f>AS131*$AT$136</f>
        <v>7.5</v>
      </c>
      <c r="AU131" s="149">
        <f t="shared" si="230"/>
        <v>1557.3769892313951</v>
      </c>
      <c r="AV131" s="149">
        <f t="shared" ref="AV131:AV134" si="232">AT131*AQ131</f>
        <v>4784.5474366468306</v>
      </c>
      <c r="AW131" s="172">
        <f>AV131+AW130</f>
        <v>11432.157491642833</v>
      </c>
    </row>
    <row r="132" spans="9:49" ht="46" thickBot="1">
      <c r="I132" s="191" t="s">
        <v>245</v>
      </c>
      <c r="J132" s="192">
        <v>60</v>
      </c>
      <c r="K132" s="193">
        <f>M35</f>
        <v>63.203398762960425</v>
      </c>
      <c r="L132" s="193">
        <f>K132</f>
        <v>63.203398762960425</v>
      </c>
      <c r="M132" s="194" t="s">
        <v>187</v>
      </c>
      <c r="O132" s="188" t="s">
        <v>243</v>
      </c>
      <c r="P132" s="189" t="s">
        <v>1</v>
      </c>
      <c r="Q132" s="189" t="s">
        <v>191</v>
      </c>
      <c r="R132" s="189" t="s">
        <v>192</v>
      </c>
      <c r="S132" s="272" t="s">
        <v>1</v>
      </c>
      <c r="U132" s="256" t="s">
        <v>226</v>
      </c>
      <c r="V132" s="46"/>
      <c r="X132" s="129" t="s">
        <v>236</v>
      </c>
      <c r="Y132" s="215"/>
      <c r="Z132" s="129" t="s">
        <v>236</v>
      </c>
      <c r="AA132" s="215"/>
      <c r="AK132" s="161">
        <v>3</v>
      </c>
      <c r="AL132" s="54" t="s">
        <v>17</v>
      </c>
      <c r="AM132" s="149">
        <f>Y42</f>
        <v>47.977780768740217</v>
      </c>
      <c r="AN132" s="149">
        <f>M42</f>
        <v>336.23307709080535</v>
      </c>
      <c r="AO132" s="149">
        <f t="shared" ref="AO132:AO134" si="233">AM132*AN132</f>
        <v>16131.716859861588</v>
      </c>
      <c r="AP132" s="149">
        <f>W42</f>
        <v>17</v>
      </c>
      <c r="AQ132" s="149">
        <f t="shared" si="231"/>
        <v>907.9202768874502</v>
      </c>
      <c r="AR132" s="149">
        <f t="shared" si="229"/>
        <v>43560</v>
      </c>
      <c r="AS132" s="321">
        <v>0.3</v>
      </c>
      <c r="AT132" s="222">
        <f t="shared" ref="AT132:AT133" si="234">AS132*$AT$136</f>
        <v>15</v>
      </c>
      <c r="AU132" s="149">
        <f t="shared" si="230"/>
        <v>5043.49615636208</v>
      </c>
      <c r="AV132" s="149">
        <f t="shared" si="232"/>
        <v>13618.804153311754</v>
      </c>
      <c r="AW132" s="172">
        <f t="shared" ref="AW132:AW135" si="235">AV132+AW131</f>
        <v>25050.961644954587</v>
      </c>
    </row>
    <row r="133" spans="9:49" ht="111" thickBot="1">
      <c r="I133" s="195"/>
      <c r="J133" s="196">
        <v>120</v>
      </c>
      <c r="K133" s="197">
        <f>M38</f>
        <v>210.63750423788844</v>
      </c>
      <c r="L133" s="197">
        <f>K133-K132</f>
        <v>147.434105474928</v>
      </c>
      <c r="M133" s="198" t="s">
        <v>188</v>
      </c>
      <c r="O133" s="191" t="s">
        <v>245</v>
      </c>
      <c r="P133" s="273">
        <v>40</v>
      </c>
      <c r="Q133" s="266">
        <f>M34</f>
        <v>25.655502246275688</v>
      </c>
      <c r="R133" s="270">
        <f>Q133</f>
        <v>25.655502246275688</v>
      </c>
      <c r="S133" s="271" t="s">
        <v>193</v>
      </c>
      <c r="U133" s="184" t="s">
        <v>218</v>
      </c>
      <c r="V133" s="249" t="s">
        <v>202</v>
      </c>
      <c r="X133" s="216" t="s">
        <v>238</v>
      </c>
      <c r="Y133" s="216" t="s">
        <v>285</v>
      </c>
      <c r="Z133" s="216" t="s">
        <v>240</v>
      </c>
      <c r="AA133" s="216" t="s">
        <v>286</v>
      </c>
      <c r="AK133" s="161">
        <v>4</v>
      </c>
      <c r="AL133" s="54" t="s">
        <v>17</v>
      </c>
      <c r="AM133" s="149">
        <f>Y56</f>
        <v>45.275358831562194</v>
      </c>
      <c r="AN133" s="149">
        <f>M56</f>
        <v>427.5721305097415</v>
      </c>
      <c r="AO133" s="149">
        <f t="shared" si="233"/>
        <v>19358.481635204087</v>
      </c>
      <c r="AP133" s="149">
        <f>W56</f>
        <v>17.5</v>
      </c>
      <c r="AQ133" s="149">
        <f t="shared" si="231"/>
        <v>962.11275016187415</v>
      </c>
      <c r="AR133" s="149">
        <f t="shared" si="229"/>
        <v>43560</v>
      </c>
      <c r="AS133" s="321">
        <v>0.15</v>
      </c>
      <c r="AT133" s="222">
        <f t="shared" si="234"/>
        <v>7.5</v>
      </c>
      <c r="AU133" s="149">
        <f t="shared" si="230"/>
        <v>3206.7909788230613</v>
      </c>
      <c r="AV133" s="149">
        <f t="shared" si="232"/>
        <v>7215.8456262140562</v>
      </c>
      <c r="AW133" s="172">
        <f t="shared" si="235"/>
        <v>32266.807271168644</v>
      </c>
    </row>
    <row r="134" spans="9:49" ht="27" customHeight="1">
      <c r="I134" s="195"/>
      <c r="J134" s="196">
        <v>180</v>
      </c>
      <c r="K134" s="197">
        <f>M41</f>
        <v>321.49608193731063</v>
      </c>
      <c r="L134" s="197">
        <f>K134-K133</f>
        <v>110.8585776994222</v>
      </c>
      <c r="M134" s="198" t="s">
        <v>189</v>
      </c>
      <c r="O134" s="277"/>
      <c r="P134" s="274">
        <v>80</v>
      </c>
      <c r="Q134" s="266">
        <f>M36</f>
        <v>112.90789749222111</v>
      </c>
      <c r="R134" s="266">
        <f>Q134-Q133</f>
        <v>87.252395245945422</v>
      </c>
      <c r="S134" s="267" t="s">
        <v>194</v>
      </c>
      <c r="U134" s="183" t="s">
        <v>201</v>
      </c>
      <c r="V134" s="250">
        <f>AVERAGE(K6:K7)</f>
        <v>52.5</v>
      </c>
      <c r="X134" s="176" t="s">
        <v>193</v>
      </c>
      <c r="Y134" s="217">
        <f>SUM(W121:W122)</f>
        <v>25.806743261733402</v>
      </c>
      <c r="Z134" s="217" t="s">
        <v>187</v>
      </c>
      <c r="AA134" s="261">
        <f>SUM(W121:W123)</f>
        <v>54.029974214429927</v>
      </c>
      <c r="AK134" s="161">
        <v>5</v>
      </c>
      <c r="AL134" s="54" t="s">
        <v>17</v>
      </c>
      <c r="AM134" s="149">
        <f>Y70</f>
        <v>26.21092370919834</v>
      </c>
      <c r="AN134" s="149">
        <f>M70</f>
        <v>756.35897841489475</v>
      </c>
      <c r="AO134" s="149">
        <f t="shared" si="233"/>
        <v>19824.867480000001</v>
      </c>
      <c r="AP134" s="149">
        <f>W70</f>
        <v>23</v>
      </c>
      <c r="AQ134" s="149">
        <f t="shared" ref="AQ134" si="236">AP134^2*PI()</f>
        <v>1661.9025137490005</v>
      </c>
      <c r="AR134" s="149">
        <f t="shared" si="229"/>
        <v>43560</v>
      </c>
      <c r="AS134" s="321"/>
      <c r="AT134" s="222">
        <v>3</v>
      </c>
      <c r="AU134" s="149">
        <f t="shared" si="230"/>
        <v>2269.0769352446841</v>
      </c>
      <c r="AV134" s="149">
        <f t="shared" si="232"/>
        <v>4985.7075412470012</v>
      </c>
      <c r="AW134" s="172">
        <f t="shared" si="235"/>
        <v>37252.514812415648</v>
      </c>
    </row>
    <row r="135" spans="9:49" ht="25" thickBot="1">
      <c r="I135" s="199"/>
      <c r="J135" s="200">
        <v>200</v>
      </c>
      <c r="K135" s="201">
        <f>M42</f>
        <v>336.23307709080535</v>
      </c>
      <c r="L135" s="201">
        <f>K135-K134</f>
        <v>14.736995153494718</v>
      </c>
      <c r="M135" s="202" t="s">
        <v>17</v>
      </c>
      <c r="O135" s="277"/>
      <c r="P135" s="274">
        <v>120</v>
      </c>
      <c r="Q135" s="266">
        <f>M38</f>
        <v>210.63750423788844</v>
      </c>
      <c r="R135" s="266">
        <f>Q135-Q134</f>
        <v>97.729606745667326</v>
      </c>
      <c r="S135" s="267" t="s">
        <v>195</v>
      </c>
      <c r="U135" s="251" t="s">
        <v>203</v>
      </c>
      <c r="V135" s="252">
        <f>AVERAGE(K20:K21)</f>
        <v>54</v>
      </c>
      <c r="X135" s="176" t="s">
        <v>194</v>
      </c>
      <c r="Y135" s="261">
        <f>SUM(W123:W124)</f>
        <v>51.154614435368757</v>
      </c>
      <c r="Z135" s="217" t="s">
        <v>188</v>
      </c>
      <c r="AA135" s="217">
        <f>SUM(W124:W126)</f>
        <v>50.880033009892053</v>
      </c>
      <c r="AK135" s="162">
        <v>6</v>
      </c>
      <c r="AL135" s="163" t="s">
        <v>17</v>
      </c>
      <c r="AM135" s="164">
        <f>Y84</f>
        <v>22.184925827465474</v>
      </c>
      <c r="AN135" s="164">
        <f>M84</f>
        <v>926.60501209566155</v>
      </c>
      <c r="AO135" s="164">
        <f>AM135*AN135</f>
        <v>20556.663464699999</v>
      </c>
      <c r="AP135" s="164">
        <v>26</v>
      </c>
      <c r="AQ135" s="164">
        <f>AP135^2*PI()</f>
        <v>2123.7166338267002</v>
      </c>
      <c r="AR135" s="164">
        <f t="shared" si="229"/>
        <v>47114.495999999999</v>
      </c>
      <c r="AS135" s="341"/>
      <c r="AT135" s="223">
        <v>1</v>
      </c>
      <c r="AU135" s="164">
        <f>AT135*AN135</f>
        <v>926.60501209566155</v>
      </c>
      <c r="AV135" s="164">
        <f>AT135*AQ135</f>
        <v>2123.7166338267002</v>
      </c>
      <c r="AW135" s="172">
        <f t="shared" si="235"/>
        <v>39376.231446242346</v>
      </c>
    </row>
    <row r="136" spans="9:49" ht="25" thickBot="1">
      <c r="I136" s="195"/>
      <c r="J136" s="203"/>
      <c r="K136" s="204"/>
      <c r="L136" s="205"/>
      <c r="M136" s="206"/>
      <c r="O136" s="277"/>
      <c r="P136" s="274">
        <v>160</v>
      </c>
      <c r="Q136" s="266">
        <f>M40</f>
        <v>297.09272034798545</v>
      </c>
      <c r="R136" s="266">
        <f>Q136-Q135</f>
        <v>86.455216110097012</v>
      </c>
      <c r="S136" s="267" t="s">
        <v>196</v>
      </c>
      <c r="U136" s="251" t="s">
        <v>204</v>
      </c>
      <c r="V136" s="252">
        <f>AVERAGE(K48:K49)</f>
        <v>79</v>
      </c>
      <c r="X136" s="176" t="s">
        <v>195</v>
      </c>
      <c r="Y136" s="217">
        <f>SUM(W125:W126)</f>
        <v>27.948649527219814</v>
      </c>
      <c r="Z136" s="218" t="s">
        <v>189</v>
      </c>
      <c r="AA136" s="218">
        <f>SUM(W127:W129)</f>
        <v>-4.8301352236560433</v>
      </c>
      <c r="AM136" s="323">
        <f>SUM(AM130:AM135)</f>
        <v>314.77500415678662</v>
      </c>
      <c r="AR136" s="37"/>
      <c r="AS136" s="320"/>
      <c r="AT136" s="358">
        <v>50</v>
      </c>
      <c r="AU136" s="160">
        <f>SUM(AU130:AU135)</f>
        <v>15218.111663191514</v>
      </c>
      <c r="AV136" s="160">
        <f>AU136*12.5/2000</f>
        <v>95.113197894946964</v>
      </c>
    </row>
    <row r="137" spans="9:49" ht="46" thickBot="1">
      <c r="I137" s="188" t="s">
        <v>243</v>
      </c>
      <c r="J137" s="207" t="s">
        <v>1</v>
      </c>
      <c r="K137" s="208" t="s">
        <v>191</v>
      </c>
      <c r="L137" s="208" t="s">
        <v>192</v>
      </c>
      <c r="M137" s="209" t="s">
        <v>1</v>
      </c>
      <c r="O137" s="278"/>
      <c r="P137" s="275">
        <v>200</v>
      </c>
      <c r="Q137" s="268">
        <f>M42</f>
        <v>336.23307709080535</v>
      </c>
      <c r="R137" s="268">
        <f>Q137-Q136</f>
        <v>39.140356742819904</v>
      </c>
      <c r="S137" s="269" t="s">
        <v>197</v>
      </c>
      <c r="U137" s="251" t="s">
        <v>205</v>
      </c>
      <c r="V137" s="252">
        <f>AVERAGE(K62:K63)</f>
        <v>80</v>
      </c>
      <c r="X137" s="176" t="s">
        <v>196</v>
      </c>
      <c r="Y137" s="217">
        <f>SUM(W127:W128)</f>
        <v>6.5436536913468188</v>
      </c>
      <c r="AM137" s="324">
        <f>AM136/6</f>
        <v>52.462500692797768</v>
      </c>
      <c r="AR137" s="37" t="s">
        <v>258</v>
      </c>
      <c r="AS137" s="320"/>
      <c r="AT137" s="325">
        <f>SUM(AT131:AT135)+IF(AT130&gt;0,AT130,0)</f>
        <v>50</v>
      </c>
      <c r="AU137" s="326">
        <f>SUM(AU131:AU135)+IF(AT130&gt;0,AU130,0)</f>
        <v>15218.111663191514</v>
      </c>
      <c r="AV137" s="160">
        <f>AU137*12.5/2000</f>
        <v>95.113197894946964</v>
      </c>
    </row>
    <row r="138" spans="9:49" ht="46" thickBot="1">
      <c r="I138" s="191" t="s">
        <v>246</v>
      </c>
      <c r="J138" s="192">
        <v>60</v>
      </c>
      <c r="K138" s="193">
        <f>M49</f>
        <v>100.7315556058051</v>
      </c>
      <c r="L138" s="193">
        <f>K138</f>
        <v>100.7315556058051</v>
      </c>
      <c r="M138" s="194" t="s">
        <v>187</v>
      </c>
      <c r="O138" s="188" t="s">
        <v>243</v>
      </c>
      <c r="P138" s="189" t="s">
        <v>1</v>
      </c>
      <c r="Q138" s="189" t="s">
        <v>191</v>
      </c>
      <c r="R138" s="189" t="s">
        <v>192</v>
      </c>
      <c r="S138" s="272" t="s">
        <v>1</v>
      </c>
      <c r="U138" s="253" t="s">
        <v>206</v>
      </c>
      <c r="V138" s="254">
        <f>AVERAGE(K76:K77)</f>
        <v>88.5</v>
      </c>
      <c r="X138" s="176" t="s">
        <v>197</v>
      </c>
      <c r="Y138" s="217">
        <f>SUM(W128:W129)</f>
        <v>-14.430534658934747</v>
      </c>
      <c r="AR138" s="37" t="s">
        <v>262</v>
      </c>
      <c r="AS138" s="37"/>
      <c r="AT138" s="37"/>
      <c r="AU138" s="215">
        <f>AU137*R1*T1/100/2000</f>
        <v>95.113197894946964</v>
      </c>
    </row>
    <row r="139" spans="9:49" ht="23" thickBot="1">
      <c r="I139" s="195"/>
      <c r="J139" s="196">
        <v>120</v>
      </c>
      <c r="K139" s="197">
        <f>M52</f>
        <v>296.14255873987656</v>
      </c>
      <c r="L139" s="197">
        <f>K139-K138</f>
        <v>195.41100313407145</v>
      </c>
      <c r="M139" s="198" t="s">
        <v>188</v>
      </c>
      <c r="O139" s="191" t="s">
        <v>246</v>
      </c>
      <c r="P139" s="273">
        <v>40</v>
      </c>
      <c r="Q139" s="270">
        <f>M48</f>
        <v>38.684825808049489</v>
      </c>
      <c r="R139" s="270">
        <f>Q139</f>
        <v>38.684825808049489</v>
      </c>
      <c r="S139" s="271" t="s">
        <v>193</v>
      </c>
      <c r="U139" s="184" t="s">
        <v>207</v>
      </c>
      <c r="V139" s="255">
        <f>AVERAGE(V134:V138)</f>
        <v>70.8</v>
      </c>
      <c r="AR139" s="37" t="s">
        <v>263</v>
      </c>
      <c r="AS139" s="37"/>
      <c r="AT139" s="37"/>
      <c r="AU139" s="215">
        <f>AW139</f>
        <v>15.75</v>
      </c>
      <c r="AW139" s="38">
        <f>10*150*42*0.5/2000</f>
        <v>15.75</v>
      </c>
    </row>
    <row r="140" spans="9:49" ht="23" thickBot="1">
      <c r="I140" s="195"/>
      <c r="J140" s="196">
        <v>180</v>
      </c>
      <c r="K140" s="197">
        <f>M55</f>
        <v>409.79989952207342</v>
      </c>
      <c r="L140" s="197">
        <f>K140-K139</f>
        <v>113.65734078219685</v>
      </c>
      <c r="M140" s="198" t="s">
        <v>189</v>
      </c>
      <c r="O140" s="277"/>
      <c r="P140" s="274">
        <v>80</v>
      </c>
      <c r="Q140" s="266">
        <f>M50</f>
        <v>171.61178944698565</v>
      </c>
      <c r="R140" s="266">
        <f>Q140-Q139</f>
        <v>132.92696363893617</v>
      </c>
      <c r="S140" s="267" t="s">
        <v>194</v>
      </c>
      <c r="AR140" s="37" t="s">
        <v>264</v>
      </c>
      <c r="AS140" s="37"/>
      <c r="AT140" s="37"/>
      <c r="AU140" s="215">
        <f>SUM(AU138:AU139)</f>
        <v>110.86319789494696</v>
      </c>
    </row>
    <row r="141" spans="9:49" ht="23" thickBot="1">
      <c r="I141" s="199"/>
      <c r="J141" s="200">
        <v>200</v>
      </c>
      <c r="K141" s="201">
        <f>M56</f>
        <v>427.5721305097415</v>
      </c>
      <c r="L141" s="201">
        <f>K141-K140</f>
        <v>17.772230987668081</v>
      </c>
      <c r="M141" s="202" t="s">
        <v>17</v>
      </c>
      <c r="O141" s="277"/>
      <c r="P141" s="274">
        <v>120</v>
      </c>
      <c r="Q141" s="266">
        <f>M52</f>
        <v>296.14255873987656</v>
      </c>
      <c r="R141" s="266">
        <f>Q141-Q140</f>
        <v>124.53076929289091</v>
      </c>
      <c r="S141" s="267" t="s">
        <v>195</v>
      </c>
    </row>
    <row r="142" spans="9:49" ht="27" customHeight="1" thickBot="1">
      <c r="I142" s="195"/>
      <c r="J142" s="203"/>
      <c r="K142" s="204"/>
      <c r="L142" s="205"/>
      <c r="M142" s="206"/>
      <c r="O142" s="277"/>
      <c r="P142" s="274">
        <v>160</v>
      </c>
      <c r="Q142" s="266">
        <f>M54</f>
        <v>387.44728125971818</v>
      </c>
      <c r="R142" s="266">
        <f>Q142-Q141</f>
        <v>91.304722519841619</v>
      </c>
      <c r="S142" s="267" t="s">
        <v>196</v>
      </c>
    </row>
    <row r="143" spans="9:49" ht="45" thickBot="1">
      <c r="I143" s="188" t="s">
        <v>243</v>
      </c>
      <c r="J143" s="207" t="s">
        <v>1</v>
      </c>
      <c r="K143" s="208" t="s">
        <v>191</v>
      </c>
      <c r="L143" s="208" t="s">
        <v>192</v>
      </c>
      <c r="M143" s="209" t="s">
        <v>1</v>
      </c>
      <c r="O143" s="278"/>
      <c r="P143" s="275">
        <v>200</v>
      </c>
      <c r="Q143" s="268">
        <f>M56</f>
        <v>427.5721305097415</v>
      </c>
      <c r="R143" s="268">
        <f>Q143-Q142</f>
        <v>40.124849250023317</v>
      </c>
      <c r="S143" s="269" t="s">
        <v>197</v>
      </c>
    </row>
    <row r="144" spans="9:49" ht="45" thickBot="1">
      <c r="I144" s="210" t="s">
        <v>247</v>
      </c>
      <c r="J144" s="196">
        <v>60</v>
      </c>
      <c r="K144" s="197">
        <f>M63</f>
        <v>161.48875324904785</v>
      </c>
      <c r="L144" s="197">
        <f>K144</f>
        <v>161.48875324904785</v>
      </c>
      <c r="M144" s="198" t="s">
        <v>187</v>
      </c>
      <c r="O144" s="188" t="s">
        <v>243</v>
      </c>
      <c r="P144" s="189" t="s">
        <v>1</v>
      </c>
      <c r="Q144" s="189" t="s">
        <v>191</v>
      </c>
      <c r="R144" s="189" t="s">
        <v>192</v>
      </c>
      <c r="S144" s="272" t="s">
        <v>1</v>
      </c>
    </row>
    <row r="145" spans="9:19" ht="22">
      <c r="I145" s="195"/>
      <c r="J145" s="196">
        <v>120</v>
      </c>
      <c r="K145" s="197">
        <f>M66</f>
        <v>517.20507442845349</v>
      </c>
      <c r="L145" s="197">
        <f>K145-K144</f>
        <v>355.71632117940567</v>
      </c>
      <c r="M145" s="198" t="s">
        <v>188</v>
      </c>
      <c r="O145" s="276" t="s">
        <v>247</v>
      </c>
      <c r="P145" s="273">
        <v>40</v>
      </c>
      <c r="Q145" s="270">
        <f>M62</f>
        <v>59.474118843639111</v>
      </c>
      <c r="R145" s="270">
        <f>Q145</f>
        <v>59.474118843639111</v>
      </c>
      <c r="S145" s="271" t="s">
        <v>193</v>
      </c>
    </row>
    <row r="146" spans="9:19" ht="27" customHeight="1">
      <c r="I146" s="195"/>
      <c r="J146" s="196">
        <v>180</v>
      </c>
      <c r="K146" s="197">
        <f>M80</f>
        <v>598.48223623819376</v>
      </c>
      <c r="L146" s="197">
        <f>K146-K145</f>
        <v>81.277161809740278</v>
      </c>
      <c r="M146" s="198" t="s">
        <v>189</v>
      </c>
      <c r="O146" s="277"/>
      <c r="P146" s="274">
        <v>80</v>
      </c>
      <c r="Q146" s="266">
        <f>M64</f>
        <v>276.00084088897461</v>
      </c>
      <c r="R146" s="266">
        <f>Q146-Q145</f>
        <v>216.5267220453355</v>
      </c>
      <c r="S146" s="267" t="s">
        <v>194</v>
      </c>
    </row>
    <row r="147" spans="9:19" ht="23" thickBot="1">
      <c r="I147" s="199"/>
      <c r="J147" s="200">
        <v>200</v>
      </c>
      <c r="K147" s="201">
        <f>M81</f>
        <v>731.93154201566711</v>
      </c>
      <c r="L147" s="201">
        <f>K147-K146</f>
        <v>133.44930577747334</v>
      </c>
      <c r="M147" s="202" t="s">
        <v>17</v>
      </c>
      <c r="O147" s="277"/>
      <c r="P147" s="274">
        <v>120</v>
      </c>
      <c r="Q147" s="266">
        <f>M66</f>
        <v>517.20507442845349</v>
      </c>
      <c r="R147" s="266">
        <f>Q147-Q146</f>
        <v>241.20423353947888</v>
      </c>
      <c r="S147" s="267" t="s">
        <v>195</v>
      </c>
    </row>
    <row r="148" spans="9:19" ht="23" thickBot="1">
      <c r="I148" s="195"/>
      <c r="J148" s="203"/>
      <c r="K148" s="204"/>
      <c r="L148" s="205"/>
      <c r="M148" s="206"/>
      <c r="O148" s="277"/>
      <c r="P148" s="274">
        <v>160</v>
      </c>
      <c r="Q148" s="266">
        <f>M68</f>
        <v>680.41301281359858</v>
      </c>
      <c r="R148" s="266">
        <f>Q148-Q147</f>
        <v>163.2079383851451</v>
      </c>
      <c r="S148" s="267" t="s">
        <v>196</v>
      </c>
    </row>
    <row r="149" spans="9:19" ht="45" thickBot="1">
      <c r="I149" s="188" t="s">
        <v>243</v>
      </c>
      <c r="J149" s="207" t="s">
        <v>1</v>
      </c>
      <c r="K149" s="208" t="s">
        <v>191</v>
      </c>
      <c r="L149" s="208" t="s">
        <v>192</v>
      </c>
      <c r="M149" s="209" t="s">
        <v>1</v>
      </c>
      <c r="O149" s="278"/>
      <c r="P149" s="275">
        <v>200</v>
      </c>
      <c r="Q149" s="268">
        <f>M70</f>
        <v>756.35897841489475</v>
      </c>
      <c r="R149" s="268">
        <f>Q149-Q148</f>
        <v>75.945965601296166</v>
      </c>
      <c r="S149" s="269" t="s">
        <v>197</v>
      </c>
    </row>
    <row r="150" spans="9:19" ht="45" thickBot="1">
      <c r="I150" s="210" t="s">
        <v>250</v>
      </c>
      <c r="J150" s="196">
        <v>60</v>
      </c>
      <c r="K150" s="197">
        <f>M77</f>
        <v>161.98869844995841</v>
      </c>
      <c r="L150" s="197">
        <f>K150</f>
        <v>161.98869844995841</v>
      </c>
      <c r="M150" s="198" t="s">
        <v>187</v>
      </c>
      <c r="O150" s="188" t="s">
        <v>243</v>
      </c>
      <c r="P150" s="189" t="s">
        <v>1</v>
      </c>
      <c r="Q150" s="189" t="s">
        <v>191</v>
      </c>
      <c r="R150" s="189" t="s">
        <v>192</v>
      </c>
      <c r="S150" s="272" t="s">
        <v>1</v>
      </c>
    </row>
    <row r="151" spans="9:19" ht="22">
      <c r="I151" s="195"/>
      <c r="J151" s="196">
        <v>120</v>
      </c>
      <c r="K151" s="197">
        <f>M80</f>
        <v>598.48223623819376</v>
      </c>
      <c r="L151" s="197">
        <f>K151-K150</f>
        <v>436.49353778823536</v>
      </c>
      <c r="M151" s="198" t="s">
        <v>188</v>
      </c>
      <c r="O151" s="210" t="s">
        <v>250</v>
      </c>
      <c r="P151" s="273">
        <v>40</v>
      </c>
      <c r="Q151" s="270">
        <f>M76</f>
        <v>58.421842384319191</v>
      </c>
      <c r="R151" s="270">
        <f>Q151</f>
        <v>58.421842384319191</v>
      </c>
      <c r="S151" s="271" t="s">
        <v>193</v>
      </c>
    </row>
    <row r="152" spans="9:19" ht="22">
      <c r="I152" s="195"/>
      <c r="J152" s="196">
        <v>180</v>
      </c>
      <c r="K152" s="197">
        <f>M83</f>
        <v>885.58630201399876</v>
      </c>
      <c r="L152" s="197">
        <f>K152-K151</f>
        <v>287.104065775805</v>
      </c>
      <c r="M152" s="198" t="s">
        <v>189</v>
      </c>
      <c r="O152" s="277"/>
      <c r="P152" s="274">
        <v>80</v>
      </c>
      <c r="Q152" s="266">
        <f>M78</f>
        <v>302.29459891623054</v>
      </c>
      <c r="R152" s="266">
        <f>Q152-Q151</f>
        <v>243.87275653191136</v>
      </c>
      <c r="S152" s="267" t="s">
        <v>194</v>
      </c>
    </row>
    <row r="153" spans="9:19" ht="24" customHeight="1" thickBot="1">
      <c r="I153" s="199"/>
      <c r="J153" s="200">
        <v>200</v>
      </c>
      <c r="K153" s="201">
        <f>M84</f>
        <v>926.60501209566155</v>
      </c>
      <c r="L153" s="201">
        <f>K153-K152</f>
        <v>41.018710081662789</v>
      </c>
      <c r="M153" s="202" t="s">
        <v>17</v>
      </c>
      <c r="O153" s="277"/>
      <c r="P153" s="274">
        <v>120</v>
      </c>
      <c r="Q153" s="266">
        <f>M80</f>
        <v>598.48223623819376</v>
      </c>
      <c r="R153" s="266">
        <f>Q153-Q152</f>
        <v>296.18763732196322</v>
      </c>
      <c r="S153" s="267" t="s">
        <v>195</v>
      </c>
    </row>
    <row r="154" spans="9:19" ht="22">
      <c r="O154" s="277"/>
      <c r="P154" s="274">
        <v>160</v>
      </c>
      <c r="Q154" s="266">
        <f>M82</f>
        <v>829.85133292660112</v>
      </c>
      <c r="R154" s="266">
        <f>Q154-Q153</f>
        <v>231.36909668840735</v>
      </c>
      <c r="S154" s="267" t="s">
        <v>196</v>
      </c>
    </row>
    <row r="155" spans="9:19" ht="23" thickBot="1">
      <c r="O155" s="278"/>
      <c r="P155" s="275">
        <v>200</v>
      </c>
      <c r="Q155" s="268">
        <f>M84</f>
        <v>926.60501209566155</v>
      </c>
      <c r="R155" s="268">
        <f>Q155-Q154</f>
        <v>96.753679169060433</v>
      </c>
      <c r="S155" s="269" t="s">
        <v>197</v>
      </c>
    </row>
    <row r="165" ht="27" customHeight="1"/>
    <row r="191" spans="10:20" ht="22" thickBot="1"/>
    <row r="192" spans="10:20" ht="27" thickBot="1">
      <c r="J192" s="279" t="s">
        <v>233</v>
      </c>
      <c r="K192" s="280"/>
      <c r="L192" s="281"/>
      <c r="M192" s="282"/>
      <c r="N192" s="25"/>
      <c r="O192" s="25"/>
      <c r="P192" s="25"/>
      <c r="Q192" s="256" t="s">
        <v>201</v>
      </c>
      <c r="R192" s="294"/>
      <c r="S192" s="294"/>
      <c r="T192" s="36"/>
    </row>
    <row r="193" spans="10:20" ht="67" thickBot="1">
      <c r="J193" s="155" t="s">
        <v>232</v>
      </c>
      <c r="K193" s="283"/>
      <c r="L193" s="284" t="s">
        <v>227</v>
      </c>
      <c r="M193" s="284" t="s">
        <v>228</v>
      </c>
      <c r="N193" s="285" t="s">
        <v>229</v>
      </c>
      <c r="O193" s="285" t="s">
        <v>230</v>
      </c>
      <c r="P193" s="286" t="s">
        <v>231</v>
      </c>
      <c r="Q193" s="297" t="s">
        <v>235</v>
      </c>
      <c r="R193" s="295" t="s">
        <v>192</v>
      </c>
      <c r="S193" s="295" t="s">
        <v>192</v>
      </c>
      <c r="T193" s="296" t="s">
        <v>1</v>
      </c>
    </row>
    <row r="194" spans="10:20" ht="22" thickBot="1">
      <c r="J194" s="251">
        <v>20</v>
      </c>
      <c r="K194" s="115"/>
      <c r="L194" s="287" t="s">
        <v>164</v>
      </c>
      <c r="M194" s="287" t="s">
        <v>164</v>
      </c>
      <c r="N194" s="287" t="s">
        <v>165</v>
      </c>
      <c r="O194" s="287" t="s">
        <v>13</v>
      </c>
      <c r="P194" s="288" t="s">
        <v>12</v>
      </c>
      <c r="Q194" s="289">
        <v>60</v>
      </c>
      <c r="R194" s="293">
        <f>DMAX(L119:M123,1,S193:S194)</f>
        <v>62.985692937051333</v>
      </c>
      <c r="S194" s="289" t="s">
        <v>234</v>
      </c>
      <c r="T194" s="293" t="str">
        <f>DGET(L119:M123,2,R193:R194)</f>
        <v>61-120</v>
      </c>
    </row>
    <row r="195" spans="10:20" ht="25" thickBot="1">
      <c r="J195" s="251">
        <v>40</v>
      </c>
      <c r="K195" s="115"/>
      <c r="L195" s="287" t="s">
        <v>194</v>
      </c>
      <c r="M195" s="287" t="s">
        <v>194</v>
      </c>
      <c r="N195" s="287" t="s">
        <v>194</v>
      </c>
      <c r="O195" s="287" t="s">
        <v>195</v>
      </c>
      <c r="P195" s="288" t="s">
        <v>195</v>
      </c>
      <c r="Q195" s="256" t="s">
        <v>203</v>
      </c>
      <c r="R195" s="294"/>
      <c r="S195" s="294"/>
      <c r="T195" s="36"/>
    </row>
    <row r="196" spans="10:20" ht="67" thickBot="1">
      <c r="J196" s="289">
        <v>60</v>
      </c>
      <c r="K196" s="290"/>
      <c r="L196" s="291" t="str">
        <f>DGET(L119:M123,2,R193:R194)</f>
        <v>61-120</v>
      </c>
      <c r="M196" s="291" t="s">
        <v>188</v>
      </c>
      <c r="N196" s="291" t="s">
        <v>188</v>
      </c>
      <c r="O196" s="291" t="s">
        <v>188</v>
      </c>
      <c r="P196" s="292" t="s">
        <v>188</v>
      </c>
      <c r="Q196" s="297" t="s">
        <v>235</v>
      </c>
      <c r="R196" s="295" t="s">
        <v>192</v>
      </c>
      <c r="S196" s="295" t="s">
        <v>192</v>
      </c>
      <c r="T196" s="296" t="s">
        <v>1</v>
      </c>
    </row>
    <row r="197" spans="10:20" ht="22" thickBot="1">
      <c r="Q197" s="289">
        <v>60</v>
      </c>
      <c r="R197" s="293">
        <f>DMAX(L125:M129,1,S193:S194)</f>
        <v>100.59337788892469</v>
      </c>
      <c r="S197" s="289" t="s">
        <v>234</v>
      </c>
      <c r="T197" s="293" t="str">
        <f>DGET(L125:M129,2,R196:R197)</f>
        <v>61-120</v>
      </c>
    </row>
    <row r="206" spans="10:20" ht="22" thickBot="1"/>
    <row r="207" spans="10:20" ht="22" thickBot="1">
      <c r="O207" s="243" t="s">
        <v>200</v>
      </c>
      <c r="P207" s="262"/>
      <c r="Q207" s="263"/>
      <c r="R207" s="264"/>
      <c r="S207" s="265"/>
    </row>
    <row r="208" spans="10:20" ht="45" thickBot="1">
      <c r="O208" s="188" t="s">
        <v>243</v>
      </c>
      <c r="P208" s="188" t="s">
        <v>1</v>
      </c>
      <c r="Q208" s="189" t="s">
        <v>191</v>
      </c>
      <c r="R208" s="189" t="s">
        <v>192</v>
      </c>
      <c r="S208" s="272" t="s">
        <v>1</v>
      </c>
    </row>
    <row r="209" spans="15:19" ht="22">
      <c r="O209" s="300" t="s">
        <v>242</v>
      </c>
      <c r="P209" s="308">
        <v>20</v>
      </c>
      <c r="Q209" s="270">
        <f t="shared" ref="Q209:Q218" si="237">M5</f>
        <v>0.7592182246175333</v>
      </c>
      <c r="R209" s="270">
        <f>Q209</f>
        <v>0.7592182246175333</v>
      </c>
      <c r="S209" s="271" t="s">
        <v>2</v>
      </c>
    </row>
    <row r="210" spans="15:19" ht="22">
      <c r="O210" s="300"/>
      <c r="P210" s="299">
        <v>40</v>
      </c>
      <c r="Q210" s="266">
        <f t="shared" si="237"/>
        <v>10.676506283684063</v>
      </c>
      <c r="R210" s="266">
        <f>Q210-Q209</f>
        <v>9.9172880590665287</v>
      </c>
      <c r="S210" s="267" t="s">
        <v>11</v>
      </c>
    </row>
    <row r="211" spans="15:19" ht="22">
      <c r="O211" s="167"/>
      <c r="P211" s="299">
        <v>60</v>
      </c>
      <c r="Q211" s="266">
        <f t="shared" si="237"/>
        <v>31.181092485042093</v>
      </c>
      <c r="R211" s="266">
        <f t="shared" ref="R211:R218" si="238">Q211-Q210</f>
        <v>20.50458620135803</v>
      </c>
      <c r="S211" s="267" t="s">
        <v>164</v>
      </c>
    </row>
    <row r="212" spans="15:19" ht="22">
      <c r="O212" s="167"/>
      <c r="P212" s="299">
        <v>80</v>
      </c>
      <c r="Q212" s="266">
        <f t="shared" si="237"/>
        <v>52.914473382943612</v>
      </c>
      <c r="R212" s="266">
        <f t="shared" si="238"/>
        <v>21.733380897901519</v>
      </c>
      <c r="S212" s="267" t="s">
        <v>165</v>
      </c>
    </row>
    <row r="213" spans="15:19" ht="22">
      <c r="O213" s="167"/>
      <c r="P213" s="299">
        <v>100</v>
      </c>
      <c r="Q213" s="266">
        <f t="shared" si="237"/>
        <v>74.738201249574615</v>
      </c>
      <c r="R213" s="266">
        <f t="shared" si="238"/>
        <v>21.823727866631003</v>
      </c>
      <c r="S213" s="267" t="s">
        <v>12</v>
      </c>
    </row>
    <row r="214" spans="15:19" ht="22">
      <c r="O214" s="167"/>
      <c r="P214" s="299">
        <v>120</v>
      </c>
      <c r="Q214" s="266">
        <f t="shared" si="237"/>
        <v>94.166785422093426</v>
      </c>
      <c r="R214" s="266">
        <f t="shared" si="238"/>
        <v>19.428584172518811</v>
      </c>
      <c r="S214" s="267" t="s">
        <v>13</v>
      </c>
    </row>
    <row r="215" spans="15:19" ht="22">
      <c r="O215" s="167"/>
      <c r="P215" s="299">
        <v>140</v>
      </c>
      <c r="Q215" s="266">
        <f t="shared" si="237"/>
        <v>110.23848621446582</v>
      </c>
      <c r="R215" s="266">
        <f t="shared" si="238"/>
        <v>16.071700792372397</v>
      </c>
      <c r="S215" s="267" t="s">
        <v>14</v>
      </c>
    </row>
    <row r="216" spans="15:19" ht="22">
      <c r="O216" s="167"/>
      <c r="P216" s="299">
        <v>160</v>
      </c>
      <c r="Q216" s="266">
        <f t="shared" si="237"/>
        <v>123.33500058911831</v>
      </c>
      <c r="R216" s="266">
        <f t="shared" si="238"/>
        <v>13.096514374652486</v>
      </c>
      <c r="S216" s="267" t="s">
        <v>15</v>
      </c>
    </row>
    <row r="217" spans="15:19" ht="22">
      <c r="O217" s="167"/>
      <c r="P217" s="299">
        <v>180</v>
      </c>
      <c r="Q217" s="266">
        <f t="shared" si="237"/>
        <v>132.50996302906506</v>
      </c>
      <c r="R217" s="266">
        <f t="shared" si="238"/>
        <v>9.1749624399467535</v>
      </c>
      <c r="S217" s="267" t="s">
        <v>16</v>
      </c>
    </row>
    <row r="218" spans="15:19" ht="22">
      <c r="O218" s="300"/>
      <c r="P218" s="299">
        <v>200</v>
      </c>
      <c r="Q218" s="266">
        <f t="shared" si="237"/>
        <v>138.42284946466447</v>
      </c>
      <c r="R218" s="266">
        <f t="shared" si="238"/>
        <v>5.912886435599404</v>
      </c>
      <c r="S218" s="267" t="s">
        <v>17</v>
      </c>
    </row>
    <row r="219" spans="15:19" ht="22" thickBot="1">
      <c r="O219" s="169"/>
      <c r="P219" s="162"/>
      <c r="Q219" s="301"/>
      <c r="R219" s="164"/>
      <c r="S219" s="302"/>
    </row>
    <row r="220" spans="15:19" ht="45" thickBot="1">
      <c r="O220" s="188" t="s">
        <v>243</v>
      </c>
      <c r="P220" s="188" t="s">
        <v>1</v>
      </c>
      <c r="Q220" s="189" t="s">
        <v>191</v>
      </c>
      <c r="R220" s="189" t="s">
        <v>192</v>
      </c>
      <c r="S220" s="272" t="s">
        <v>1</v>
      </c>
    </row>
    <row r="221" spans="15:19" ht="22">
      <c r="O221" s="300" t="s">
        <v>244</v>
      </c>
      <c r="P221" s="308">
        <v>20</v>
      </c>
      <c r="Q221" s="270">
        <f t="shared" ref="Q221:Q230" si="239">M19</f>
        <v>1.0932742434492477</v>
      </c>
      <c r="R221" s="270">
        <f>Q221</f>
        <v>1.0932742434492477</v>
      </c>
      <c r="S221" s="271" t="s">
        <v>2</v>
      </c>
    </row>
    <row r="222" spans="15:19" ht="22">
      <c r="O222" s="300"/>
      <c r="P222" s="299">
        <v>40</v>
      </c>
      <c r="Q222" s="266">
        <f t="shared" si="239"/>
        <v>17.881107626192147</v>
      </c>
      <c r="R222" s="266">
        <f t="shared" ref="R222:R230" si="240">Q222-Q221</f>
        <v>16.7878333827429</v>
      </c>
      <c r="S222" s="267" t="s">
        <v>11</v>
      </c>
    </row>
    <row r="223" spans="15:19" ht="22">
      <c r="O223" s="167"/>
      <c r="P223" s="299">
        <v>60</v>
      </c>
      <c r="Q223" s="266">
        <f t="shared" si="239"/>
        <v>45.565240968645888</v>
      </c>
      <c r="R223" s="266">
        <f t="shared" si="240"/>
        <v>27.684133342453741</v>
      </c>
      <c r="S223" s="267" t="s">
        <v>164</v>
      </c>
    </row>
    <row r="224" spans="15:19" ht="22">
      <c r="O224" s="167"/>
      <c r="P224" s="299">
        <v>80</v>
      </c>
      <c r="Q224" s="266">
        <f t="shared" si="239"/>
        <v>84.127453033419641</v>
      </c>
      <c r="R224" s="266">
        <f t="shared" si="240"/>
        <v>38.562212064773753</v>
      </c>
      <c r="S224" s="267" t="s">
        <v>165</v>
      </c>
    </row>
    <row r="225" spans="15:19" ht="22">
      <c r="O225" s="167"/>
      <c r="P225" s="299">
        <v>100</v>
      </c>
      <c r="Q225" s="266">
        <f t="shared" si="239"/>
        <v>117.52698117079416</v>
      </c>
      <c r="R225" s="266">
        <f t="shared" si="240"/>
        <v>33.399528137374517</v>
      </c>
      <c r="S225" s="267" t="s">
        <v>12</v>
      </c>
    </row>
    <row r="226" spans="15:19" ht="22">
      <c r="O226" s="167"/>
      <c r="P226" s="299">
        <v>120</v>
      </c>
      <c r="Q226" s="266">
        <f t="shared" si="239"/>
        <v>146.15861885757059</v>
      </c>
      <c r="R226" s="266">
        <f t="shared" si="240"/>
        <v>28.631637686776429</v>
      </c>
      <c r="S226" s="267" t="s">
        <v>13</v>
      </c>
    </row>
    <row r="227" spans="15:19" ht="22">
      <c r="O227" s="167"/>
      <c r="P227" s="299">
        <v>140</v>
      </c>
      <c r="Q227" s="266">
        <f t="shared" si="239"/>
        <v>170.40653051540534</v>
      </c>
      <c r="R227" s="266">
        <f t="shared" si="240"/>
        <v>24.247911657834749</v>
      </c>
      <c r="S227" s="267" t="s">
        <v>14</v>
      </c>
    </row>
    <row r="228" spans="15:19" ht="22">
      <c r="O228" s="167"/>
      <c r="P228" s="299">
        <v>160</v>
      </c>
      <c r="Q228" s="266">
        <f t="shared" si="239"/>
        <v>187.96117430501201</v>
      </c>
      <c r="R228" s="266">
        <f t="shared" si="240"/>
        <v>17.554643789606672</v>
      </c>
      <c r="S228" s="267" t="s">
        <v>15</v>
      </c>
    </row>
    <row r="229" spans="15:19" ht="22">
      <c r="O229" s="167"/>
      <c r="P229" s="299">
        <v>180</v>
      </c>
      <c r="Q229" s="266">
        <f t="shared" si="239"/>
        <v>199.99573218798068</v>
      </c>
      <c r="R229" s="266">
        <f t="shared" si="240"/>
        <v>12.03455788296867</v>
      </c>
      <c r="S229" s="267" t="s">
        <v>16</v>
      </c>
    </row>
    <row r="230" spans="15:19" ht="22">
      <c r="O230" s="300"/>
      <c r="P230" s="299">
        <v>200</v>
      </c>
      <c r="Q230" s="266">
        <f t="shared" si="239"/>
        <v>207.65026523085268</v>
      </c>
      <c r="R230" s="266">
        <f t="shared" si="240"/>
        <v>7.6545330428720035</v>
      </c>
      <c r="S230" s="267" t="s">
        <v>17</v>
      </c>
    </row>
    <row r="231" spans="15:19" ht="22" thickBot="1">
      <c r="O231" s="169"/>
      <c r="P231" s="162"/>
      <c r="Q231" s="301"/>
      <c r="R231" s="164"/>
      <c r="S231" s="302"/>
    </row>
    <row r="232" spans="15:19" ht="45" thickBot="1">
      <c r="O232" s="188" t="s">
        <v>243</v>
      </c>
      <c r="P232" s="188" t="s">
        <v>1</v>
      </c>
      <c r="Q232" s="189" t="s">
        <v>191</v>
      </c>
      <c r="R232" s="189" t="s">
        <v>192</v>
      </c>
      <c r="S232" s="272" t="s">
        <v>1</v>
      </c>
    </row>
    <row r="233" spans="15:19" ht="44">
      <c r="O233" s="300" t="s">
        <v>245</v>
      </c>
      <c r="P233" s="308">
        <v>20</v>
      </c>
      <c r="Q233" s="270" t="str">
        <f>M31</f>
        <v>Volume -feet^3</v>
      </c>
      <c r="R233" s="270" t="str">
        <f>Q233</f>
        <v>Volume -feet^3</v>
      </c>
      <c r="S233" s="271" t="s">
        <v>2</v>
      </c>
    </row>
    <row r="234" spans="15:19" ht="22">
      <c r="O234" s="300"/>
      <c r="P234" s="299">
        <v>40</v>
      </c>
      <c r="Q234" s="266">
        <f>M33</f>
        <v>1.2026016677941727</v>
      </c>
      <c r="R234" s="266">
        <f>Q234</f>
        <v>1.2026016677941727</v>
      </c>
      <c r="S234" s="267" t="s">
        <v>11</v>
      </c>
    </row>
    <row r="235" spans="15:19" ht="22">
      <c r="O235" s="167"/>
      <c r="P235" s="299">
        <v>60</v>
      </c>
      <c r="Q235" s="266">
        <f t="shared" ref="Q235:Q242" si="241">M34</f>
        <v>25.655502246275688</v>
      </c>
      <c r="R235" s="266">
        <f t="shared" ref="R235:R242" si="242">Q235-Q234</f>
        <v>24.452900578481515</v>
      </c>
      <c r="S235" s="267" t="s">
        <v>164</v>
      </c>
    </row>
    <row r="236" spans="15:19" ht="22">
      <c r="O236" s="167"/>
      <c r="P236" s="299">
        <v>80</v>
      </c>
      <c r="Q236" s="266">
        <f t="shared" si="241"/>
        <v>63.203398762960425</v>
      </c>
      <c r="R236" s="266">
        <f t="shared" si="242"/>
        <v>37.547896516684737</v>
      </c>
      <c r="S236" s="267" t="s">
        <v>165</v>
      </c>
    </row>
    <row r="237" spans="15:19" ht="22">
      <c r="O237" s="167"/>
      <c r="P237" s="299">
        <v>100</v>
      </c>
      <c r="Q237" s="266">
        <f t="shared" si="241"/>
        <v>112.90789749222111</v>
      </c>
      <c r="R237" s="266">
        <f t="shared" si="242"/>
        <v>49.704498729260685</v>
      </c>
      <c r="S237" s="267" t="s">
        <v>12</v>
      </c>
    </row>
    <row r="238" spans="15:19" ht="22">
      <c r="O238" s="167"/>
      <c r="P238" s="299">
        <v>120</v>
      </c>
      <c r="Q238" s="266">
        <f t="shared" si="241"/>
        <v>163.43235190406872</v>
      </c>
      <c r="R238" s="266">
        <f t="shared" si="242"/>
        <v>50.524454411847614</v>
      </c>
      <c r="S238" s="267" t="s">
        <v>13</v>
      </c>
    </row>
    <row r="239" spans="15:19" ht="22">
      <c r="O239" s="167"/>
      <c r="P239" s="299">
        <v>140</v>
      </c>
      <c r="Q239" s="266">
        <f t="shared" si="241"/>
        <v>210.63750423788844</v>
      </c>
      <c r="R239" s="266">
        <f t="shared" si="242"/>
        <v>47.205152333819711</v>
      </c>
      <c r="S239" s="267" t="s">
        <v>14</v>
      </c>
    </row>
    <row r="240" spans="15:19" ht="22">
      <c r="O240" s="167"/>
      <c r="P240" s="299">
        <v>160</v>
      </c>
      <c r="Q240" s="266">
        <f t="shared" si="241"/>
        <v>254.89005689617056</v>
      </c>
      <c r="R240" s="266">
        <f t="shared" si="242"/>
        <v>44.252552658282127</v>
      </c>
      <c r="S240" s="267" t="s">
        <v>15</v>
      </c>
    </row>
    <row r="241" spans="15:19" ht="22">
      <c r="O241" s="167"/>
      <c r="P241" s="299">
        <v>180</v>
      </c>
      <c r="Q241" s="266">
        <f t="shared" si="241"/>
        <v>297.09272034798545</v>
      </c>
      <c r="R241" s="266">
        <f t="shared" si="242"/>
        <v>42.202663451814885</v>
      </c>
      <c r="S241" s="267" t="s">
        <v>16</v>
      </c>
    </row>
    <row r="242" spans="15:19" ht="22">
      <c r="O242" s="300"/>
      <c r="P242" s="299">
        <v>200</v>
      </c>
      <c r="Q242" s="266">
        <f t="shared" si="241"/>
        <v>321.49608193731063</v>
      </c>
      <c r="R242" s="266">
        <f t="shared" si="242"/>
        <v>24.403361589325186</v>
      </c>
      <c r="S242" s="267" t="s">
        <v>17</v>
      </c>
    </row>
    <row r="243" spans="15:19" ht="22" thickBot="1">
      <c r="O243" s="169"/>
      <c r="P243" s="162"/>
      <c r="Q243" s="301"/>
      <c r="R243" s="164"/>
      <c r="S243" s="302"/>
    </row>
    <row r="244" spans="15:19" ht="45" thickBot="1">
      <c r="O244" s="188" t="s">
        <v>243</v>
      </c>
      <c r="P244" s="188" t="s">
        <v>1</v>
      </c>
      <c r="Q244" s="189" t="s">
        <v>191</v>
      </c>
      <c r="R244" s="189" t="s">
        <v>192</v>
      </c>
      <c r="S244" s="272" t="s">
        <v>1</v>
      </c>
    </row>
    <row r="245" spans="15:19" ht="22">
      <c r="O245" s="300" t="s">
        <v>246</v>
      </c>
      <c r="P245" s="308">
        <v>20</v>
      </c>
      <c r="Q245" s="270">
        <f t="shared" ref="Q245:Q254" si="243">M47</f>
        <v>2.2351384532740184</v>
      </c>
      <c r="R245" s="270">
        <f>Q245</f>
        <v>2.2351384532740184</v>
      </c>
      <c r="S245" s="271" t="s">
        <v>2</v>
      </c>
    </row>
    <row r="246" spans="15:19" ht="22">
      <c r="O246" s="300"/>
      <c r="P246" s="299">
        <v>40</v>
      </c>
      <c r="Q246" s="266">
        <f t="shared" si="243"/>
        <v>38.684825808049489</v>
      </c>
      <c r="R246" s="266">
        <f t="shared" ref="R246:R254" si="244">Q246-Q245</f>
        <v>36.44968735477547</v>
      </c>
      <c r="S246" s="267" t="s">
        <v>11</v>
      </c>
    </row>
    <row r="247" spans="15:19" ht="22">
      <c r="O247" s="167"/>
      <c r="P247" s="299">
        <v>60</v>
      </c>
      <c r="Q247" s="266">
        <f t="shared" si="243"/>
        <v>100.7315556058051</v>
      </c>
      <c r="R247" s="266">
        <f t="shared" si="244"/>
        <v>62.04672979775561</v>
      </c>
      <c r="S247" s="267" t="s">
        <v>164</v>
      </c>
    </row>
    <row r="248" spans="15:19" ht="22">
      <c r="O248" s="167"/>
      <c r="P248" s="299">
        <v>80</v>
      </c>
      <c r="Q248" s="266">
        <f t="shared" si="243"/>
        <v>171.61178944698565</v>
      </c>
      <c r="R248" s="266">
        <f t="shared" si="244"/>
        <v>70.880233841180555</v>
      </c>
      <c r="S248" s="267" t="s">
        <v>165</v>
      </c>
    </row>
    <row r="249" spans="15:19" ht="22">
      <c r="O249" s="167"/>
      <c r="P249" s="299">
        <v>100</v>
      </c>
      <c r="Q249" s="266">
        <f t="shared" si="243"/>
        <v>243.21252138332835</v>
      </c>
      <c r="R249" s="266">
        <f t="shared" si="244"/>
        <v>71.600731936342697</v>
      </c>
      <c r="S249" s="267" t="s">
        <v>12</v>
      </c>
    </row>
    <row r="250" spans="15:19" ht="22">
      <c r="O250" s="167"/>
      <c r="P250" s="299">
        <v>120</v>
      </c>
      <c r="Q250" s="266">
        <f t="shared" si="243"/>
        <v>296.14255873987656</v>
      </c>
      <c r="R250" s="266">
        <f t="shared" si="244"/>
        <v>52.930037356548212</v>
      </c>
      <c r="S250" s="267" t="s">
        <v>13</v>
      </c>
    </row>
    <row r="251" spans="15:19" ht="22">
      <c r="O251" s="167"/>
      <c r="P251" s="299">
        <v>140</v>
      </c>
      <c r="Q251" s="266">
        <f t="shared" si="243"/>
        <v>345.19678705975247</v>
      </c>
      <c r="R251" s="266">
        <f t="shared" si="244"/>
        <v>49.054228319875904</v>
      </c>
      <c r="S251" s="267" t="s">
        <v>14</v>
      </c>
    </row>
    <row r="252" spans="15:19" ht="22">
      <c r="O252" s="167"/>
      <c r="P252" s="299">
        <v>160</v>
      </c>
      <c r="Q252" s="266">
        <f t="shared" si="243"/>
        <v>387.44728125971818</v>
      </c>
      <c r="R252" s="266">
        <f t="shared" si="244"/>
        <v>42.250494199965715</v>
      </c>
      <c r="S252" s="267" t="s">
        <v>15</v>
      </c>
    </row>
    <row r="253" spans="15:19" ht="22">
      <c r="O253" s="167"/>
      <c r="P253" s="299">
        <v>180</v>
      </c>
      <c r="Q253" s="266">
        <f t="shared" si="243"/>
        <v>409.79989952207342</v>
      </c>
      <c r="R253" s="266">
        <f t="shared" si="244"/>
        <v>22.352618262355236</v>
      </c>
      <c r="S253" s="267" t="s">
        <v>16</v>
      </c>
    </row>
    <row r="254" spans="15:19" ht="22">
      <c r="O254" s="300"/>
      <c r="P254" s="299">
        <v>200</v>
      </c>
      <c r="Q254" s="266">
        <f t="shared" si="243"/>
        <v>427.5721305097415</v>
      </c>
      <c r="R254" s="266">
        <f t="shared" si="244"/>
        <v>17.772230987668081</v>
      </c>
      <c r="S254" s="267" t="s">
        <v>17</v>
      </c>
    </row>
    <row r="255" spans="15:19" ht="22" thickBot="1">
      <c r="O255" s="169"/>
      <c r="P255" s="162"/>
      <c r="Q255" s="301"/>
      <c r="R255" s="164"/>
      <c r="S255" s="302"/>
    </row>
    <row r="256" spans="15:19" ht="45" thickBot="1">
      <c r="O256" s="188" t="s">
        <v>243</v>
      </c>
      <c r="P256" s="188" t="s">
        <v>1</v>
      </c>
      <c r="Q256" s="189" t="s">
        <v>191</v>
      </c>
      <c r="R256" s="189" t="s">
        <v>192</v>
      </c>
      <c r="S256" s="272" t="s">
        <v>1</v>
      </c>
    </row>
    <row r="257" spans="15:19" ht="22">
      <c r="O257" s="300" t="s">
        <v>247</v>
      </c>
      <c r="P257" s="308">
        <v>20</v>
      </c>
      <c r="Q257" s="270">
        <f t="shared" ref="Q257:Q266" si="245">M61</f>
        <v>3.4924038332406533</v>
      </c>
      <c r="R257" s="270">
        <f>Q257</f>
        <v>3.4924038332406533</v>
      </c>
      <c r="S257" s="271" t="s">
        <v>2</v>
      </c>
    </row>
    <row r="258" spans="15:19" ht="22">
      <c r="O258" s="300"/>
      <c r="P258" s="299">
        <v>40</v>
      </c>
      <c r="Q258" s="266">
        <f t="shared" si="245"/>
        <v>59.474118843639111</v>
      </c>
      <c r="R258" s="266">
        <f t="shared" ref="R258:R266" si="246">Q258-Q257</f>
        <v>55.98171501039846</v>
      </c>
      <c r="S258" s="267" t="s">
        <v>11</v>
      </c>
    </row>
    <row r="259" spans="15:19" ht="22">
      <c r="O259" s="167"/>
      <c r="P259" s="299">
        <v>60</v>
      </c>
      <c r="Q259" s="266">
        <f t="shared" si="245"/>
        <v>161.48875324904785</v>
      </c>
      <c r="R259" s="266">
        <f t="shared" si="246"/>
        <v>102.01463440540874</v>
      </c>
      <c r="S259" s="267" t="s">
        <v>164</v>
      </c>
    </row>
    <row r="260" spans="15:19" ht="22">
      <c r="O260" s="167"/>
      <c r="P260" s="299">
        <v>80</v>
      </c>
      <c r="Q260" s="266">
        <f t="shared" si="245"/>
        <v>276.00084088897461</v>
      </c>
      <c r="R260" s="266">
        <f t="shared" si="246"/>
        <v>114.51208763992676</v>
      </c>
      <c r="S260" s="267" t="s">
        <v>165</v>
      </c>
    </row>
    <row r="261" spans="15:19" ht="22">
      <c r="O261" s="167"/>
      <c r="P261" s="299">
        <v>100</v>
      </c>
      <c r="Q261" s="266">
        <f t="shared" si="245"/>
        <v>398.70228905401399</v>
      </c>
      <c r="R261" s="266">
        <f t="shared" si="246"/>
        <v>122.70144816503938</v>
      </c>
      <c r="S261" s="267" t="s">
        <v>12</v>
      </c>
    </row>
    <row r="262" spans="15:19" ht="22">
      <c r="O262" s="167"/>
      <c r="P262" s="299">
        <v>120</v>
      </c>
      <c r="Q262" s="266">
        <f t="shared" si="245"/>
        <v>517.20507442845349</v>
      </c>
      <c r="R262" s="266">
        <f t="shared" si="246"/>
        <v>118.5027853744395</v>
      </c>
      <c r="S262" s="267" t="s">
        <v>13</v>
      </c>
    </row>
    <row r="263" spans="15:19" ht="22">
      <c r="O263" s="167"/>
      <c r="P263" s="299">
        <v>140</v>
      </c>
      <c r="Q263" s="266">
        <f t="shared" si="245"/>
        <v>615.77151427784111</v>
      </c>
      <c r="R263" s="266">
        <f t="shared" si="246"/>
        <v>98.566439849387621</v>
      </c>
      <c r="S263" s="267" t="s">
        <v>14</v>
      </c>
    </row>
    <row r="264" spans="15:19" ht="22">
      <c r="O264" s="167"/>
      <c r="P264" s="299">
        <v>160</v>
      </c>
      <c r="Q264" s="266">
        <f t="shared" si="245"/>
        <v>680.41301281359858</v>
      </c>
      <c r="R264" s="266">
        <f t="shared" si="246"/>
        <v>64.641498535757478</v>
      </c>
      <c r="S264" s="267" t="s">
        <v>15</v>
      </c>
    </row>
    <row r="265" spans="15:19" ht="22">
      <c r="O265" s="167"/>
      <c r="P265" s="299">
        <v>180</v>
      </c>
      <c r="Q265" s="266">
        <f t="shared" si="245"/>
        <v>721.28233721934009</v>
      </c>
      <c r="R265" s="266">
        <f t="shared" si="246"/>
        <v>40.869324405741509</v>
      </c>
      <c r="S265" s="267" t="s">
        <v>16</v>
      </c>
    </row>
    <row r="266" spans="15:19" ht="22">
      <c r="O266" s="300"/>
      <c r="P266" s="299">
        <v>200</v>
      </c>
      <c r="Q266" s="266">
        <f t="shared" si="245"/>
        <v>756.35897841489475</v>
      </c>
      <c r="R266" s="266">
        <f t="shared" si="246"/>
        <v>35.076641195554657</v>
      </c>
      <c r="S266" s="267" t="s">
        <v>17</v>
      </c>
    </row>
    <row r="267" spans="15:19" ht="22" thickBot="1">
      <c r="O267" s="169"/>
      <c r="P267" s="162"/>
      <c r="Q267" s="301"/>
      <c r="R267" s="164"/>
      <c r="S267" s="302"/>
    </row>
    <row r="268" spans="15:19" ht="45" thickBot="1">
      <c r="O268" s="309" t="s">
        <v>190</v>
      </c>
      <c r="P268" s="188" t="s">
        <v>1</v>
      </c>
      <c r="Q268" s="189" t="s">
        <v>191</v>
      </c>
      <c r="R268" s="189" t="s">
        <v>192</v>
      </c>
      <c r="S268" s="272" t="s">
        <v>1</v>
      </c>
    </row>
    <row r="269" spans="15:19" ht="22">
      <c r="O269" s="300" t="s">
        <v>250</v>
      </c>
      <c r="P269" s="308">
        <v>20</v>
      </c>
      <c r="Q269" s="270">
        <f t="shared" ref="Q269:Q278" si="247">M75</f>
        <v>1.8790651059283947</v>
      </c>
      <c r="R269" s="270">
        <f>Q269</f>
        <v>1.8790651059283947</v>
      </c>
      <c r="S269" s="271" t="s">
        <v>2</v>
      </c>
    </row>
    <row r="270" spans="15:19" ht="22">
      <c r="O270" s="300"/>
      <c r="P270" s="299">
        <v>40</v>
      </c>
      <c r="Q270" s="266">
        <f t="shared" si="247"/>
        <v>58.421842384319191</v>
      </c>
      <c r="R270" s="266">
        <f t="shared" ref="R270:R278" si="248">Q270-Q269</f>
        <v>56.542777278390794</v>
      </c>
      <c r="S270" s="267" t="s">
        <v>11</v>
      </c>
    </row>
    <row r="271" spans="15:19" ht="22">
      <c r="O271" s="167"/>
      <c r="P271" s="299">
        <v>60</v>
      </c>
      <c r="Q271" s="266">
        <f t="shared" si="247"/>
        <v>161.98869844995841</v>
      </c>
      <c r="R271" s="266">
        <f t="shared" si="248"/>
        <v>103.56685606563921</v>
      </c>
      <c r="S271" s="267" t="s">
        <v>164</v>
      </c>
    </row>
    <row r="272" spans="15:19" ht="22">
      <c r="O272" s="167"/>
      <c r="P272" s="299">
        <v>80</v>
      </c>
      <c r="Q272" s="266">
        <f t="shared" si="247"/>
        <v>302.29459891623054</v>
      </c>
      <c r="R272" s="266">
        <f t="shared" si="248"/>
        <v>140.30590046627213</v>
      </c>
      <c r="S272" s="267" t="s">
        <v>165</v>
      </c>
    </row>
    <row r="273" spans="15:19" ht="22">
      <c r="O273" s="167"/>
      <c r="P273" s="299">
        <v>100</v>
      </c>
      <c r="Q273" s="266">
        <f t="shared" si="247"/>
        <v>448.80236325484708</v>
      </c>
      <c r="R273" s="266">
        <f t="shared" si="248"/>
        <v>146.50776433861654</v>
      </c>
      <c r="S273" s="267" t="s">
        <v>12</v>
      </c>
    </row>
    <row r="274" spans="15:19" ht="22">
      <c r="O274" s="167"/>
      <c r="P274" s="299">
        <v>120</v>
      </c>
      <c r="Q274" s="266">
        <f t="shared" si="247"/>
        <v>598.48223623819376</v>
      </c>
      <c r="R274" s="266">
        <f t="shared" si="248"/>
        <v>149.67987298334668</v>
      </c>
      <c r="S274" s="267" t="s">
        <v>13</v>
      </c>
    </row>
    <row r="275" spans="15:19" ht="22">
      <c r="O275" s="167"/>
      <c r="P275" s="299">
        <v>140</v>
      </c>
      <c r="Q275" s="266">
        <f t="shared" si="247"/>
        <v>731.93154201566711</v>
      </c>
      <c r="R275" s="266">
        <f t="shared" si="248"/>
        <v>133.44930577747334</v>
      </c>
      <c r="S275" s="267" t="s">
        <v>14</v>
      </c>
    </row>
    <row r="276" spans="15:19" ht="22">
      <c r="O276" s="167"/>
      <c r="P276" s="299">
        <v>160</v>
      </c>
      <c r="Q276" s="266">
        <f t="shared" si="247"/>
        <v>829.85133292660112</v>
      </c>
      <c r="R276" s="266">
        <f t="shared" si="248"/>
        <v>97.919790910934012</v>
      </c>
      <c r="S276" s="267" t="s">
        <v>15</v>
      </c>
    </row>
    <row r="277" spans="15:19" ht="22">
      <c r="O277" s="167"/>
      <c r="P277" s="299">
        <v>180</v>
      </c>
      <c r="Q277" s="266">
        <f t="shared" si="247"/>
        <v>885.58630201399876</v>
      </c>
      <c r="R277" s="266">
        <f t="shared" si="248"/>
        <v>55.734969087397644</v>
      </c>
      <c r="S277" s="267" t="s">
        <v>16</v>
      </c>
    </row>
    <row r="278" spans="15:19" ht="22">
      <c r="O278" s="300"/>
      <c r="P278" s="299">
        <v>200</v>
      </c>
      <c r="Q278" s="266">
        <f t="shared" si="247"/>
        <v>926.60501209566155</v>
      </c>
      <c r="R278" s="266">
        <f t="shared" si="248"/>
        <v>41.018710081662789</v>
      </c>
      <c r="S278" s="267" t="s">
        <v>17</v>
      </c>
    </row>
    <row r="279" spans="15:19" ht="22" thickBot="1">
      <c r="O279" s="169"/>
      <c r="P279" s="162"/>
      <c r="Q279" s="301"/>
      <c r="R279" s="164"/>
      <c r="S279" s="30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987F5-817C-0A4C-A189-FB100340924F}">
  <dimension ref="A1:H8"/>
  <sheetViews>
    <sheetView topLeftCell="A3" workbookViewId="0">
      <selection activeCell="C5" sqref="C5"/>
    </sheetView>
  </sheetViews>
  <sheetFormatPr baseColWidth="10" defaultRowHeight="16"/>
  <sheetData>
    <row r="1" spans="1:8">
      <c r="A1" s="85" t="s">
        <v>336</v>
      </c>
      <c r="B1" s="85" t="s">
        <v>335</v>
      </c>
      <c r="C1" s="85" t="s">
        <v>337</v>
      </c>
      <c r="D1" s="85" t="s">
        <v>338</v>
      </c>
      <c r="F1" s="85" t="s">
        <v>339</v>
      </c>
    </row>
    <row r="2" spans="1:8">
      <c r="A2">
        <v>103.75</v>
      </c>
      <c r="B2">
        <v>50.92</v>
      </c>
      <c r="C2">
        <v>76.489999999999995</v>
      </c>
      <c r="D2">
        <v>113.76</v>
      </c>
      <c r="F2">
        <f>(20*A2-40*B2)/(2*(C2-B2)-D2+A2)</f>
        <v>0.92876246049112166</v>
      </c>
      <c r="H2">
        <f>C8*F2</f>
        <v>1.1874228057378988</v>
      </c>
    </row>
    <row r="4" spans="1:8">
      <c r="B4">
        <f>B2+H2</f>
        <v>52.107422805737897</v>
      </c>
      <c r="C4">
        <f>A2+E8</f>
        <v>104.2505</v>
      </c>
    </row>
    <row r="5" spans="1:8">
      <c r="B5">
        <f>B4*2</f>
        <v>104.21484561147579</v>
      </c>
    </row>
    <row r="8" spans="1:8">
      <c r="C8">
        <f>(C2-B2)/20</f>
        <v>1.2784999999999997</v>
      </c>
      <c r="E8">
        <f>(D2-A2)/20</f>
        <v>0.50050000000000028</v>
      </c>
      <c r="G8">
        <f>C8/E8</f>
        <v>2.5544455544455524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4D18-47DD-B943-BD43-571C509F0E10}">
  <dimension ref="D2:W47"/>
  <sheetViews>
    <sheetView showGridLines="0" workbookViewId="0">
      <selection activeCell="O28" sqref="O28"/>
    </sheetView>
  </sheetViews>
  <sheetFormatPr baseColWidth="10" defaultRowHeight="16"/>
  <cols>
    <col min="4" max="5" width="14.6640625" customWidth="1"/>
    <col min="6" max="6" width="25.6640625" customWidth="1"/>
    <col min="7" max="7" width="24.33203125" customWidth="1"/>
    <col min="8" max="8" width="5.6640625" customWidth="1"/>
    <col min="9" max="9" width="20" customWidth="1"/>
    <col min="10" max="10" width="13.1640625" customWidth="1"/>
    <col min="11" max="11" width="27.1640625" customWidth="1"/>
    <col min="12" max="12" width="25.6640625" customWidth="1"/>
    <col min="15" max="16" width="20.6640625" customWidth="1"/>
    <col min="17" max="17" width="25.83203125" customWidth="1"/>
    <col min="18" max="18" width="24.1640625" customWidth="1"/>
    <col min="19" max="19" width="6.33203125" customWidth="1"/>
    <col min="20" max="21" width="20.6640625" customWidth="1"/>
    <col min="22" max="22" width="25" customWidth="1"/>
    <col min="23" max="23" width="24.6640625" customWidth="1"/>
    <col min="24" max="24" width="15.1640625" customWidth="1"/>
  </cols>
  <sheetData>
    <row r="2" spans="4:12" ht="17" thickBot="1"/>
    <row r="3" spans="4:12" ht="25" thickBot="1">
      <c r="D3" s="256" t="s">
        <v>332</v>
      </c>
      <c r="E3" s="304"/>
      <c r="F3" s="304"/>
      <c r="G3" s="415"/>
    </row>
    <row r="4" spans="4:12" ht="25" thickBot="1">
      <c r="D4" s="256"/>
      <c r="E4" s="304"/>
      <c r="F4" s="304"/>
      <c r="G4" s="415"/>
    </row>
    <row r="5" spans="4:12" ht="17" thickBot="1"/>
    <row r="6" spans="4:12" ht="22" thickBot="1">
      <c r="D6" s="184" t="s">
        <v>243</v>
      </c>
      <c r="E6" s="333" t="s">
        <v>1</v>
      </c>
      <c r="F6" s="334" t="s">
        <v>192</v>
      </c>
      <c r="G6" s="334" t="s">
        <v>331</v>
      </c>
      <c r="I6" s="184" t="s">
        <v>243</v>
      </c>
      <c r="J6" s="334" t="s">
        <v>1</v>
      </c>
      <c r="K6" s="334" t="s">
        <v>192</v>
      </c>
      <c r="L6" s="334" t="s">
        <v>331</v>
      </c>
    </row>
    <row r="7" spans="4:12" ht="21">
      <c r="D7" s="413" t="s">
        <v>242</v>
      </c>
      <c r="E7" s="411" t="s">
        <v>193</v>
      </c>
      <c r="F7" s="416">
        <v>10.676506283684063</v>
      </c>
      <c r="G7" s="416">
        <v>10.676506283684063</v>
      </c>
      <c r="I7" s="413" t="s">
        <v>246</v>
      </c>
      <c r="J7" s="411" t="s">
        <v>193</v>
      </c>
      <c r="K7" s="416">
        <v>38.684825808049489</v>
      </c>
      <c r="L7" s="416">
        <v>38.684825808049489</v>
      </c>
    </row>
    <row r="8" spans="4:12" ht="21">
      <c r="D8" s="138"/>
      <c r="E8" s="412" t="s">
        <v>194</v>
      </c>
      <c r="F8" s="157">
        <v>42.237967099259549</v>
      </c>
      <c r="G8" s="157">
        <v>52.914473382943612</v>
      </c>
      <c r="I8" s="138"/>
      <c r="J8" s="412" t="s">
        <v>194</v>
      </c>
      <c r="K8" s="157">
        <v>132.92696363893617</v>
      </c>
      <c r="L8" s="157">
        <v>171.61178944698565</v>
      </c>
    </row>
    <row r="9" spans="4:12" ht="21">
      <c r="D9" s="138"/>
      <c r="E9" s="412" t="s">
        <v>195</v>
      </c>
      <c r="F9" s="157">
        <v>41.252312039149814</v>
      </c>
      <c r="G9" s="157">
        <v>94.166785422093426</v>
      </c>
      <c r="I9" s="138"/>
      <c r="J9" s="412" t="s">
        <v>195</v>
      </c>
      <c r="K9" s="157">
        <v>124.53076929289091</v>
      </c>
      <c r="L9" s="157">
        <v>296.14255873987656</v>
      </c>
    </row>
    <row r="10" spans="4:12" ht="21">
      <c r="D10" s="138"/>
      <c r="E10" s="412" t="s">
        <v>196</v>
      </c>
      <c r="F10" s="157">
        <v>29.168215167024883</v>
      </c>
      <c r="G10" s="157">
        <v>123.33500058911831</v>
      </c>
      <c r="I10" s="138"/>
      <c r="J10" s="412" t="s">
        <v>196</v>
      </c>
      <c r="K10" s="157">
        <v>88.497133525205982</v>
      </c>
      <c r="L10" s="157">
        <v>384.63969226508254</v>
      </c>
    </row>
    <row r="11" spans="4:12" ht="21">
      <c r="D11" s="138"/>
      <c r="E11" s="412" t="s">
        <v>197</v>
      </c>
      <c r="F11" s="157">
        <v>15.087848875546158</v>
      </c>
      <c r="G11" s="157">
        <v>138.42284946466447</v>
      </c>
      <c r="I11" s="138"/>
      <c r="J11" s="412" t="s">
        <v>197</v>
      </c>
      <c r="K11" s="157">
        <v>36.364503069973466</v>
      </c>
      <c r="L11" s="157">
        <v>421.00419533505601</v>
      </c>
    </row>
    <row r="12" spans="4:12" ht="22" thickBot="1">
      <c r="D12" s="417"/>
      <c r="E12" s="418"/>
      <c r="F12" s="419"/>
      <c r="G12" s="419"/>
      <c r="I12" s="417"/>
      <c r="J12" s="418"/>
      <c r="K12" s="419"/>
      <c r="L12" s="419"/>
    </row>
    <row r="13" spans="4:12" ht="22" thickBot="1">
      <c r="D13" s="184" t="s">
        <v>243</v>
      </c>
      <c r="E13" s="334" t="s">
        <v>1</v>
      </c>
      <c r="F13" s="334" t="s">
        <v>192</v>
      </c>
      <c r="G13" s="334" t="s">
        <v>331</v>
      </c>
      <c r="I13" s="184" t="s">
        <v>243</v>
      </c>
      <c r="J13" s="334" t="s">
        <v>1</v>
      </c>
      <c r="K13" s="334" t="s">
        <v>192</v>
      </c>
      <c r="L13" s="334" t="s">
        <v>331</v>
      </c>
    </row>
    <row r="14" spans="4:12" ht="21">
      <c r="D14" s="413" t="s">
        <v>244</v>
      </c>
      <c r="E14" s="411" t="s">
        <v>193</v>
      </c>
      <c r="F14" s="416">
        <v>17.881107626192147</v>
      </c>
      <c r="G14" s="416">
        <v>17.881107626192147</v>
      </c>
      <c r="I14" s="413" t="s">
        <v>247</v>
      </c>
      <c r="J14" s="411" t="s">
        <v>193</v>
      </c>
      <c r="K14" s="416">
        <v>59.474118843639111</v>
      </c>
      <c r="L14" s="416">
        <v>59.474118843639111</v>
      </c>
    </row>
    <row r="15" spans="4:12" ht="21">
      <c r="D15" s="138"/>
      <c r="E15" s="412" t="s">
        <v>194</v>
      </c>
      <c r="F15" s="157">
        <v>66.246345407227494</v>
      </c>
      <c r="G15" s="157">
        <v>84.127453033419641</v>
      </c>
      <c r="I15" s="138"/>
      <c r="J15" s="412" t="s">
        <v>194</v>
      </c>
      <c r="K15" s="157">
        <v>216.5267220453355</v>
      </c>
      <c r="L15" s="157">
        <v>276.00084088897461</v>
      </c>
    </row>
    <row r="16" spans="4:12" ht="21">
      <c r="D16" s="138"/>
      <c r="E16" s="412" t="s">
        <v>195</v>
      </c>
      <c r="F16" s="157">
        <v>62.031165824150946</v>
      </c>
      <c r="G16" s="157">
        <v>146.15861885757059</v>
      </c>
      <c r="I16" s="138"/>
      <c r="J16" s="412" t="s">
        <v>195</v>
      </c>
      <c r="K16" s="157">
        <v>241.20423353947888</v>
      </c>
      <c r="L16" s="157">
        <v>517.20507442845349</v>
      </c>
    </row>
    <row r="17" spans="4:23" ht="21">
      <c r="D17" s="138"/>
      <c r="E17" s="412" t="s">
        <v>196</v>
      </c>
      <c r="F17" s="157">
        <v>41.802555447441421</v>
      </c>
      <c r="G17" s="157">
        <v>187.96117430501201</v>
      </c>
      <c r="I17" s="138"/>
      <c r="J17" s="412" t="s">
        <v>196</v>
      </c>
      <c r="K17" s="157">
        <v>163.2079383851451</v>
      </c>
      <c r="L17" s="157">
        <v>680.41301281359858</v>
      </c>
    </row>
    <row r="18" spans="4:23" ht="21">
      <c r="D18" s="138"/>
      <c r="E18" s="412" t="s">
        <v>197</v>
      </c>
      <c r="F18" s="157">
        <v>19.689090925840674</v>
      </c>
      <c r="G18" s="157">
        <v>207.65026523085268</v>
      </c>
      <c r="I18" s="138"/>
      <c r="J18" s="412" t="s">
        <v>197</v>
      </c>
      <c r="K18" s="157">
        <v>75.945965601296166</v>
      </c>
      <c r="L18" s="157">
        <v>756.35897841489475</v>
      </c>
    </row>
    <row r="19" spans="4:23" ht="22" thickBot="1">
      <c r="D19" s="417"/>
      <c r="E19" s="418"/>
      <c r="F19" s="419"/>
      <c r="G19" s="419"/>
      <c r="I19" s="417"/>
      <c r="J19" s="418"/>
      <c r="K19" s="419"/>
      <c r="L19" s="419"/>
    </row>
    <row r="20" spans="4:23" ht="22" thickBot="1">
      <c r="D20" s="184" t="s">
        <v>243</v>
      </c>
      <c r="E20" s="334" t="s">
        <v>1</v>
      </c>
      <c r="F20" s="334" t="s">
        <v>192</v>
      </c>
      <c r="G20" s="334" t="s">
        <v>331</v>
      </c>
      <c r="I20" s="184" t="s">
        <v>243</v>
      </c>
      <c r="J20" s="334" t="s">
        <v>1</v>
      </c>
      <c r="K20" s="334" t="s">
        <v>192</v>
      </c>
      <c r="L20" s="334" t="s">
        <v>331</v>
      </c>
    </row>
    <row r="21" spans="4:23" ht="21">
      <c r="D21" s="183" t="s">
        <v>245</v>
      </c>
      <c r="E21" s="420" t="s">
        <v>193</v>
      </c>
      <c r="F21" s="421">
        <v>25.655502246275688</v>
      </c>
      <c r="G21" s="421">
        <v>25.655502246275688</v>
      </c>
      <c r="I21" s="413" t="s">
        <v>250</v>
      </c>
      <c r="J21" s="411" t="s">
        <v>193</v>
      </c>
      <c r="K21" s="416">
        <v>58.421842384319191</v>
      </c>
      <c r="L21" s="416">
        <v>58.421842384319191</v>
      </c>
    </row>
    <row r="22" spans="4:23" ht="21">
      <c r="D22" s="138"/>
      <c r="E22" s="412" t="s">
        <v>194</v>
      </c>
      <c r="F22" s="157">
        <v>87.252395245945422</v>
      </c>
      <c r="G22" s="157">
        <v>112.90789749222111</v>
      </c>
      <c r="I22" s="138"/>
      <c r="J22" s="412" t="s">
        <v>194</v>
      </c>
      <c r="K22" s="157">
        <v>243.87275653191136</v>
      </c>
      <c r="L22" s="157">
        <v>302.29459891623054</v>
      </c>
    </row>
    <row r="23" spans="4:23" ht="21">
      <c r="D23" s="138"/>
      <c r="E23" s="412" t="s">
        <v>195</v>
      </c>
      <c r="F23" s="157">
        <v>97.729606745667326</v>
      </c>
      <c r="G23" s="157">
        <v>210.63750423788844</v>
      </c>
      <c r="I23" s="138"/>
      <c r="J23" s="412" t="s">
        <v>195</v>
      </c>
      <c r="K23" s="157">
        <v>296.18763732196322</v>
      </c>
      <c r="L23" s="157">
        <v>598.48223623819376</v>
      </c>
    </row>
    <row r="24" spans="4:23" ht="21">
      <c r="D24" s="138"/>
      <c r="E24" s="412" t="s">
        <v>196</v>
      </c>
      <c r="F24" s="157">
        <v>86.455216110097012</v>
      </c>
      <c r="G24" s="157">
        <v>297.09272034798545</v>
      </c>
      <c r="I24" s="138"/>
      <c r="J24" s="412" t="s">
        <v>196</v>
      </c>
      <c r="K24" s="157">
        <v>231.36909668840735</v>
      </c>
      <c r="L24" s="157">
        <v>829.85133292660112</v>
      </c>
    </row>
    <row r="25" spans="4:23" ht="22" thickBot="1">
      <c r="D25" s="139"/>
      <c r="E25" s="414" t="s">
        <v>197</v>
      </c>
      <c r="F25" s="158">
        <v>44.56492350657328</v>
      </c>
      <c r="G25" s="158">
        <v>341.65764385455873</v>
      </c>
      <c r="I25" s="139"/>
      <c r="J25" s="414" t="s">
        <v>197</v>
      </c>
      <c r="K25" s="158">
        <v>80.592347920158318</v>
      </c>
      <c r="L25" s="158">
        <v>910.44368084675943</v>
      </c>
    </row>
    <row r="27" spans="4:23" ht="17" thickBot="1"/>
    <row r="28" spans="4:23" ht="22" thickBot="1">
      <c r="D28" s="184" t="s">
        <v>243</v>
      </c>
      <c r="E28" s="333" t="s">
        <v>1</v>
      </c>
      <c r="F28" s="334" t="s">
        <v>333</v>
      </c>
      <c r="G28" s="334" t="s">
        <v>334</v>
      </c>
      <c r="I28" s="184" t="s">
        <v>243</v>
      </c>
      <c r="J28" s="334" t="s">
        <v>1</v>
      </c>
      <c r="K28" s="334" t="s">
        <v>333</v>
      </c>
      <c r="L28" s="334" t="s">
        <v>334</v>
      </c>
      <c r="O28" s="437" t="str">
        <f>D28</f>
        <v>Tree class</v>
      </c>
      <c r="P28" s="438" t="s">
        <v>1</v>
      </c>
      <c r="Q28" s="439" t="s">
        <v>192</v>
      </c>
      <c r="R28" s="439" t="s">
        <v>331</v>
      </c>
      <c r="T28" s="437" t="str">
        <f>I28</f>
        <v>Tree class</v>
      </c>
      <c r="U28" s="438" t="s">
        <v>1</v>
      </c>
      <c r="V28" s="439" t="s">
        <v>192</v>
      </c>
      <c r="W28" s="439" t="s">
        <v>331</v>
      </c>
    </row>
    <row r="29" spans="4:23" ht="21">
      <c r="D29" s="413" t="s">
        <v>242</v>
      </c>
      <c r="E29" s="411" t="s">
        <v>193</v>
      </c>
      <c r="F29" s="416">
        <f>F7/3.28084^3</f>
        <v>0.30232496155040839</v>
      </c>
      <c r="G29" s="416">
        <f>G7/3.28084^3</f>
        <v>0.30232496155040839</v>
      </c>
      <c r="I29" s="413" t="s">
        <v>246</v>
      </c>
      <c r="J29" s="411" t="s">
        <v>193</v>
      </c>
      <c r="K29" s="416">
        <f>K7/3.28084^3</f>
        <v>1.0954321726832879</v>
      </c>
      <c r="L29" s="416">
        <f>L7/3.28084^3</f>
        <v>1.0954321726832879</v>
      </c>
      <c r="O29" s="448" t="str">
        <f t="shared" ref="O29" si="0">D29</f>
        <v>#1</v>
      </c>
      <c r="P29" s="449" t="str">
        <f t="shared" ref="P29:P32" si="1">E29</f>
        <v>0-40</v>
      </c>
      <c r="Q29" s="453">
        <f t="shared" ref="Q29:Q32" si="2">F29</f>
        <v>0.30232496155040839</v>
      </c>
      <c r="R29" s="453">
        <f t="shared" ref="R29:R32" si="3">G29</f>
        <v>0.30232496155040839</v>
      </c>
      <c r="T29" s="448" t="str">
        <f t="shared" ref="T29" si="4">I29</f>
        <v>#4</v>
      </c>
      <c r="U29" s="449" t="str">
        <f t="shared" ref="U29:U32" si="5">J29</f>
        <v>0-40</v>
      </c>
      <c r="V29" s="453">
        <f t="shared" ref="V29:V32" si="6">K29</f>
        <v>1.0954321726832879</v>
      </c>
      <c r="W29" s="453">
        <f t="shared" ref="W29:W32" si="7">L29</f>
        <v>1.0954321726832879</v>
      </c>
    </row>
    <row r="30" spans="4:23" ht="21">
      <c r="D30" s="138"/>
      <c r="E30" s="412" t="s">
        <v>194</v>
      </c>
      <c r="F30" s="157">
        <f>F8/3.28084^3</f>
        <v>1.1960459198872637</v>
      </c>
      <c r="G30" s="157">
        <f t="shared" ref="G30:G33" si="8">G8/3.28084^3</f>
        <v>1.4983708814376722</v>
      </c>
      <c r="I30" s="138"/>
      <c r="J30" s="412" t="s">
        <v>194</v>
      </c>
      <c r="K30" s="157">
        <f>K8/3.28084^3</f>
        <v>3.7640720759531865</v>
      </c>
      <c r="L30" s="157">
        <f t="shared" ref="L30:L33" si="9">L8/3.28084^3</f>
        <v>4.8595042486364743</v>
      </c>
      <c r="O30" s="443"/>
      <c r="P30" s="444" t="str">
        <f t="shared" si="1"/>
        <v>41-80</v>
      </c>
      <c r="Q30" s="452">
        <f t="shared" si="2"/>
        <v>1.1960459198872637</v>
      </c>
      <c r="R30" s="452">
        <f t="shared" si="3"/>
        <v>1.4983708814376722</v>
      </c>
      <c r="T30" s="443"/>
      <c r="U30" s="444" t="str">
        <f t="shared" si="5"/>
        <v>41-80</v>
      </c>
      <c r="V30" s="452">
        <f t="shared" si="6"/>
        <v>3.7640720759531865</v>
      </c>
      <c r="W30" s="452">
        <f t="shared" si="7"/>
        <v>4.8595042486364743</v>
      </c>
    </row>
    <row r="31" spans="4:23" ht="21">
      <c r="D31" s="138"/>
      <c r="E31" s="412" t="s">
        <v>195</v>
      </c>
      <c r="F31" s="157">
        <f t="shared" ref="F31:F33" si="10">F9/3.28084^3</f>
        <v>1.1681352794369295</v>
      </c>
      <c r="G31" s="157">
        <f t="shared" si="8"/>
        <v>2.6665061608746017</v>
      </c>
      <c r="I31" s="138"/>
      <c r="J31" s="412" t="s">
        <v>195</v>
      </c>
      <c r="K31" s="157">
        <f t="shared" ref="K31:K33" si="11">K9/3.28084^3</f>
        <v>3.5263183515239636</v>
      </c>
      <c r="L31" s="157">
        <f t="shared" si="9"/>
        <v>8.3858226001604379</v>
      </c>
      <c r="O31" s="443"/>
      <c r="P31" s="444" t="str">
        <f t="shared" si="1"/>
        <v>81-120</v>
      </c>
      <c r="Q31" s="452">
        <f t="shared" si="2"/>
        <v>1.1681352794369295</v>
      </c>
      <c r="R31" s="452">
        <f t="shared" si="3"/>
        <v>2.6665061608746017</v>
      </c>
      <c r="T31" s="443"/>
      <c r="U31" s="444" t="str">
        <f t="shared" si="5"/>
        <v>81-120</v>
      </c>
      <c r="V31" s="452">
        <f t="shared" si="6"/>
        <v>3.5263183515239636</v>
      </c>
      <c r="W31" s="452">
        <f t="shared" si="7"/>
        <v>8.3858226001604379</v>
      </c>
    </row>
    <row r="32" spans="4:23" ht="21">
      <c r="D32" s="138"/>
      <c r="E32" s="412" t="s">
        <v>196</v>
      </c>
      <c r="F32" s="157">
        <f t="shared" si="10"/>
        <v>0.82595179495571636</v>
      </c>
      <c r="G32" s="157">
        <f t="shared" si="8"/>
        <v>3.4924579558303179</v>
      </c>
      <c r="I32" s="138"/>
      <c r="J32" s="412" t="s">
        <v>196</v>
      </c>
      <c r="K32" s="157">
        <f t="shared" si="11"/>
        <v>2.5059595132928769</v>
      </c>
      <c r="L32" s="157">
        <f t="shared" si="9"/>
        <v>10.891782113453313</v>
      </c>
      <c r="O32" s="443"/>
      <c r="P32" s="444" t="str">
        <f t="shared" si="1"/>
        <v>121-160</v>
      </c>
      <c r="Q32" s="452">
        <f t="shared" si="2"/>
        <v>0.82595179495571636</v>
      </c>
      <c r="R32" s="452">
        <f t="shared" si="3"/>
        <v>3.4924579558303179</v>
      </c>
      <c r="T32" s="443"/>
      <c r="U32" s="444" t="str">
        <f t="shared" si="5"/>
        <v>121-160</v>
      </c>
      <c r="V32" s="452">
        <f t="shared" si="6"/>
        <v>2.5059595132928769</v>
      </c>
      <c r="W32" s="452">
        <f t="shared" si="7"/>
        <v>10.891782113453313</v>
      </c>
    </row>
    <row r="33" spans="4:23" ht="21">
      <c r="D33" s="138"/>
      <c r="E33" s="412" t="s">
        <v>197</v>
      </c>
      <c r="F33" s="157">
        <f t="shared" si="10"/>
        <v>0.42724026099705387</v>
      </c>
      <c r="G33" s="157">
        <f t="shared" si="8"/>
        <v>3.919698216827372</v>
      </c>
      <c r="I33" s="138"/>
      <c r="J33" s="412" t="s">
        <v>197</v>
      </c>
      <c r="K33" s="157">
        <f t="shared" si="11"/>
        <v>1.0297279559728647</v>
      </c>
      <c r="L33" s="157">
        <f t="shared" si="9"/>
        <v>11.921510069426178</v>
      </c>
      <c r="O33" s="443"/>
      <c r="P33" s="444"/>
      <c r="Q33" s="452"/>
      <c r="R33" s="452"/>
      <c r="T33" s="443"/>
      <c r="U33" s="444"/>
      <c r="V33" s="452"/>
      <c r="W33" s="452"/>
    </row>
    <row r="34" spans="4:23" ht="22" thickBot="1">
      <c r="D34" s="417"/>
      <c r="E34" s="418"/>
      <c r="F34" s="419"/>
      <c r="G34" s="419"/>
      <c r="I34" s="417"/>
      <c r="J34" s="418"/>
      <c r="K34" s="419"/>
      <c r="L34" s="419"/>
      <c r="O34" s="445"/>
      <c r="P34" s="446"/>
      <c r="Q34" s="447"/>
      <c r="R34" s="447"/>
      <c r="T34" s="445"/>
      <c r="U34" s="446"/>
      <c r="V34" s="447"/>
      <c r="W34" s="447"/>
    </row>
    <row r="35" spans="4:23" ht="22" thickBot="1">
      <c r="D35" s="184" t="s">
        <v>243</v>
      </c>
      <c r="E35" s="334" t="s">
        <v>1</v>
      </c>
      <c r="F35" s="334" t="s">
        <v>333</v>
      </c>
      <c r="G35" s="334" t="s">
        <v>334</v>
      </c>
      <c r="I35" s="184" t="s">
        <v>243</v>
      </c>
      <c r="J35" s="334" t="s">
        <v>1</v>
      </c>
      <c r="K35" s="334" t="s">
        <v>333</v>
      </c>
      <c r="L35" s="334" t="s">
        <v>334</v>
      </c>
      <c r="O35" s="437" t="str">
        <f>D35</f>
        <v>Tree class</v>
      </c>
      <c r="P35" s="439"/>
      <c r="Q35" s="439"/>
      <c r="R35" s="439"/>
      <c r="T35" s="437"/>
      <c r="U35" s="439"/>
      <c r="V35" s="439"/>
      <c r="W35" s="439"/>
    </row>
    <row r="36" spans="4:23" ht="21">
      <c r="D36" s="413" t="s">
        <v>244</v>
      </c>
      <c r="E36" s="411" t="s">
        <v>193</v>
      </c>
      <c r="F36" s="416">
        <f>F14/3.28084^3</f>
        <v>0.5063365329376156</v>
      </c>
      <c r="G36" s="416">
        <f>G14/3.28084^3</f>
        <v>0.5063365329376156</v>
      </c>
      <c r="I36" s="413" t="s">
        <v>247</v>
      </c>
      <c r="J36" s="411" t="s">
        <v>193</v>
      </c>
      <c r="K36" s="416">
        <f>K14/3.28084^3</f>
        <v>1.6841193378142434</v>
      </c>
      <c r="L36" s="416">
        <f>L14/3.28084^3</f>
        <v>1.6841193378142434</v>
      </c>
      <c r="O36" s="440" t="str">
        <f t="shared" ref="O36:O43" si="12">D36</f>
        <v>#2</v>
      </c>
      <c r="P36" s="441" t="str">
        <f t="shared" ref="P36:P46" si="13">E36</f>
        <v>0-40</v>
      </c>
      <c r="Q36" s="442">
        <f t="shared" ref="Q36:Q46" si="14">F36</f>
        <v>0.5063365329376156</v>
      </c>
      <c r="R36" s="442">
        <f t="shared" ref="R36:R46" si="15">G36</f>
        <v>0.5063365329376156</v>
      </c>
      <c r="T36" s="440" t="str">
        <f t="shared" ref="T36:T42" si="16">I36</f>
        <v>#5</v>
      </c>
      <c r="U36" s="441" t="str">
        <f t="shared" ref="U36:U46" si="17">J36</f>
        <v>0-40</v>
      </c>
      <c r="V36" s="442">
        <f t="shared" ref="V36:V46" si="18">K36</f>
        <v>1.6841193378142434</v>
      </c>
      <c r="W36" s="442">
        <f t="shared" ref="W36:W46" si="19">L36</f>
        <v>1.6841193378142434</v>
      </c>
    </row>
    <row r="37" spans="4:23" ht="21">
      <c r="D37" s="138"/>
      <c r="E37" s="412" t="s">
        <v>194</v>
      </c>
      <c r="F37" s="157">
        <f t="shared" ref="F37:G37" si="20">F15/3.28084^3</f>
        <v>1.8758874200919065</v>
      </c>
      <c r="G37" s="157">
        <f t="shared" si="20"/>
        <v>2.3822239530295222</v>
      </c>
      <c r="I37" s="138"/>
      <c r="J37" s="412" t="s">
        <v>194</v>
      </c>
      <c r="K37" s="157">
        <f>K15/3.28084^3</f>
        <v>6.1313533826164459</v>
      </c>
      <c r="L37" s="157">
        <f t="shared" ref="L37:L40" si="21">L15/3.28084^3</f>
        <v>7.8154727204306891</v>
      </c>
      <c r="O37" s="443"/>
      <c r="P37" s="444" t="str">
        <f t="shared" si="13"/>
        <v>41-80</v>
      </c>
      <c r="Q37" s="452">
        <f t="shared" si="14"/>
        <v>1.8758874200919065</v>
      </c>
      <c r="R37" s="452">
        <f t="shared" si="15"/>
        <v>2.3822239530295222</v>
      </c>
      <c r="T37" s="443"/>
      <c r="U37" s="444" t="str">
        <f t="shared" si="17"/>
        <v>41-80</v>
      </c>
      <c r="V37" s="452">
        <f t="shared" si="18"/>
        <v>6.1313533826164459</v>
      </c>
      <c r="W37" s="452">
        <f t="shared" si="19"/>
        <v>7.8154727204306891</v>
      </c>
    </row>
    <row r="38" spans="4:23" ht="21">
      <c r="D38" s="138"/>
      <c r="E38" s="412" t="s">
        <v>195</v>
      </c>
      <c r="F38" s="157">
        <f t="shared" ref="F38:G38" si="22">F16/3.28084^3</f>
        <v>1.7565268379388137</v>
      </c>
      <c r="G38" s="157">
        <f t="shared" si="22"/>
        <v>4.1387507909683361</v>
      </c>
      <c r="I38" s="138"/>
      <c r="J38" s="412" t="s">
        <v>195</v>
      </c>
      <c r="K38" s="157">
        <f t="shared" ref="K38:K40" si="23">K16/3.28084^3</f>
        <v>6.8301426227846509</v>
      </c>
      <c r="L38" s="157">
        <f t="shared" si="21"/>
        <v>14.64561534321534</v>
      </c>
      <c r="O38" s="443"/>
      <c r="P38" s="444" t="str">
        <f t="shared" si="13"/>
        <v>81-120</v>
      </c>
      <c r="Q38" s="452">
        <f t="shared" si="14"/>
        <v>1.7565268379388137</v>
      </c>
      <c r="R38" s="452">
        <f t="shared" si="15"/>
        <v>4.1387507909683361</v>
      </c>
      <c r="T38" s="443"/>
      <c r="U38" s="444" t="str">
        <f t="shared" si="17"/>
        <v>81-120</v>
      </c>
      <c r="V38" s="452">
        <f t="shared" si="18"/>
        <v>6.8301426227846509</v>
      </c>
      <c r="W38" s="452">
        <f t="shared" si="19"/>
        <v>14.64561534321534</v>
      </c>
    </row>
    <row r="39" spans="4:23" ht="21">
      <c r="D39" s="138"/>
      <c r="E39" s="412" t="s">
        <v>196</v>
      </c>
      <c r="F39" s="157">
        <f t="shared" ref="F39:G39" si="24">F17/3.28084^3</f>
        <v>1.183716436121991</v>
      </c>
      <c r="G39" s="157">
        <f t="shared" si="24"/>
        <v>5.3224672270903266</v>
      </c>
      <c r="I39" s="138"/>
      <c r="J39" s="412" t="s">
        <v>196</v>
      </c>
      <c r="K39" s="157">
        <f t="shared" si="23"/>
        <v>4.6215337101814908</v>
      </c>
      <c r="L39" s="157">
        <f t="shared" si="21"/>
        <v>19.267149053396832</v>
      </c>
      <c r="O39" s="443"/>
      <c r="P39" s="444" t="str">
        <f t="shared" si="13"/>
        <v>121-160</v>
      </c>
      <c r="Q39" s="452">
        <f t="shared" si="14"/>
        <v>1.183716436121991</v>
      </c>
      <c r="R39" s="452">
        <f t="shared" si="15"/>
        <v>5.3224672270903266</v>
      </c>
      <c r="T39" s="443"/>
      <c r="U39" s="444" t="str">
        <f t="shared" si="17"/>
        <v>121-160</v>
      </c>
      <c r="V39" s="452">
        <f t="shared" si="18"/>
        <v>4.6215337101814908</v>
      </c>
      <c r="W39" s="452">
        <f t="shared" si="19"/>
        <v>19.267149053396832</v>
      </c>
    </row>
    <row r="40" spans="4:23" ht="21">
      <c r="D40" s="138"/>
      <c r="E40" s="412" t="s">
        <v>197</v>
      </c>
      <c r="F40" s="157">
        <f t="shared" ref="F40:G40" si="25">F18/3.28084^3</f>
        <v>0.55753291375980818</v>
      </c>
      <c r="G40" s="157">
        <f t="shared" si="25"/>
        <v>5.880000140850135</v>
      </c>
      <c r="I40" s="138"/>
      <c r="J40" s="412" t="s">
        <v>197</v>
      </c>
      <c r="K40" s="157">
        <f t="shared" si="23"/>
        <v>2.1505500507604007</v>
      </c>
      <c r="L40" s="157">
        <f t="shared" si="21"/>
        <v>21.417699104157233</v>
      </c>
      <c r="O40" s="443"/>
      <c r="P40" s="444"/>
      <c r="Q40" s="452"/>
      <c r="R40" s="452"/>
      <c r="T40" s="443"/>
      <c r="U40" s="444"/>
      <c r="V40" s="452"/>
      <c r="W40" s="452"/>
    </row>
    <row r="41" spans="4:23" ht="22" thickBot="1">
      <c r="D41" s="417"/>
      <c r="E41" s="418"/>
      <c r="F41" s="419"/>
      <c r="G41" s="419"/>
      <c r="I41" s="417"/>
      <c r="J41" s="418"/>
      <c r="K41" s="419"/>
      <c r="L41" s="419"/>
      <c r="O41" s="445"/>
      <c r="P41" s="446"/>
      <c r="Q41" s="447"/>
      <c r="R41" s="447"/>
      <c r="T41" s="445"/>
      <c r="U41" s="446"/>
      <c r="V41" s="447"/>
      <c r="W41" s="447"/>
    </row>
    <row r="42" spans="4:23" ht="22" thickBot="1">
      <c r="D42" s="184" t="s">
        <v>243</v>
      </c>
      <c r="E42" s="334" t="s">
        <v>1</v>
      </c>
      <c r="F42" s="334" t="s">
        <v>333</v>
      </c>
      <c r="G42" s="334" t="s">
        <v>334</v>
      </c>
      <c r="I42" s="184" t="s">
        <v>243</v>
      </c>
      <c r="J42" s="334" t="s">
        <v>1</v>
      </c>
      <c r="K42" s="334" t="s">
        <v>333</v>
      </c>
      <c r="L42" s="334" t="s">
        <v>334</v>
      </c>
      <c r="O42" s="437" t="str">
        <f t="shared" si="12"/>
        <v>Tree class</v>
      </c>
      <c r="P42" s="439" t="str">
        <f t="shared" si="13"/>
        <v>Period</v>
      </c>
      <c r="Q42" s="439" t="str">
        <f t="shared" si="14"/>
        <v>Period Volume - m^3</v>
      </c>
      <c r="R42" s="439" t="str">
        <f t="shared" si="15"/>
        <v>Cum. Volume - m^3</v>
      </c>
      <c r="T42" s="437" t="str">
        <f t="shared" si="16"/>
        <v>Tree class</v>
      </c>
      <c r="U42" s="439" t="str">
        <f t="shared" si="17"/>
        <v>Period</v>
      </c>
      <c r="V42" s="439" t="str">
        <f t="shared" si="18"/>
        <v>Period Volume - m^3</v>
      </c>
      <c r="W42" s="439" t="str">
        <f t="shared" si="19"/>
        <v>Cum. Volume - m^3</v>
      </c>
    </row>
    <row r="43" spans="4:23" ht="21">
      <c r="D43" s="183" t="s">
        <v>245</v>
      </c>
      <c r="E43" s="420" t="s">
        <v>193</v>
      </c>
      <c r="F43" s="421">
        <f>F21/3.28084^3</f>
        <v>0.72648285160614401</v>
      </c>
      <c r="G43" s="421">
        <f>G21/3.28084^3</f>
        <v>0.72648285160614401</v>
      </c>
      <c r="I43" s="413" t="s">
        <v>250</v>
      </c>
      <c r="J43" s="411" t="s">
        <v>193</v>
      </c>
      <c r="K43" s="416">
        <f>K21/3.28084^3</f>
        <v>1.6543221896038347</v>
      </c>
      <c r="L43" s="416">
        <f>L21/3.28084^3</f>
        <v>1.6543221896038347</v>
      </c>
      <c r="O43" s="448" t="str">
        <f t="shared" si="12"/>
        <v>#3</v>
      </c>
      <c r="P43" s="449" t="str">
        <f t="shared" si="13"/>
        <v>0-40</v>
      </c>
      <c r="Q43" s="453">
        <f t="shared" si="14"/>
        <v>0.72648285160614401</v>
      </c>
      <c r="R43" s="453">
        <f t="shared" si="15"/>
        <v>0.72648285160614401</v>
      </c>
      <c r="T43" s="440" t="str">
        <f>I43</f>
        <v>#6</v>
      </c>
      <c r="U43" s="441" t="str">
        <f t="shared" si="17"/>
        <v>0-40</v>
      </c>
      <c r="V43" s="442">
        <f t="shared" si="18"/>
        <v>1.6543221896038347</v>
      </c>
      <c r="W43" s="442">
        <f t="shared" si="19"/>
        <v>1.6543221896038347</v>
      </c>
    </row>
    <row r="44" spans="4:23" ht="21">
      <c r="D44" s="138"/>
      <c r="E44" s="412" t="s">
        <v>194</v>
      </c>
      <c r="F44" s="157">
        <f t="shared" ref="F44:G44" si="26">F22/3.28084^3</f>
        <v>2.4707124537755831</v>
      </c>
      <c r="G44" s="157">
        <f t="shared" si="26"/>
        <v>3.1971953053817272</v>
      </c>
      <c r="I44" s="138"/>
      <c r="J44" s="412" t="s">
        <v>194</v>
      </c>
      <c r="K44" s="157">
        <f>K22/3.28084^3</f>
        <v>6.9057067717344278</v>
      </c>
      <c r="L44" s="157">
        <f t="shared" ref="L44:L47" si="27">L22/3.28084^3</f>
        <v>8.5600289613382632</v>
      </c>
      <c r="O44" s="443"/>
      <c r="P44" s="444" t="str">
        <f t="shared" si="13"/>
        <v>41-80</v>
      </c>
      <c r="Q44" s="452">
        <f t="shared" si="14"/>
        <v>2.4707124537755831</v>
      </c>
      <c r="R44" s="452">
        <f t="shared" si="15"/>
        <v>3.1971953053817272</v>
      </c>
      <c r="T44" s="443"/>
      <c r="U44" s="444" t="str">
        <f t="shared" si="17"/>
        <v>41-80</v>
      </c>
      <c r="V44" s="452">
        <f t="shared" si="18"/>
        <v>6.9057067717344278</v>
      </c>
      <c r="W44" s="452">
        <f t="shared" si="19"/>
        <v>8.5600289613382632</v>
      </c>
    </row>
    <row r="45" spans="4:23" ht="21">
      <c r="D45" s="138"/>
      <c r="E45" s="412" t="s">
        <v>195</v>
      </c>
      <c r="F45" s="157">
        <f t="shared" ref="F45:G45" si="28">F23/3.28084^3</f>
        <v>2.7673940160437156</v>
      </c>
      <c r="G45" s="157">
        <f t="shared" si="28"/>
        <v>5.9645893214254428</v>
      </c>
      <c r="I45" s="138"/>
      <c r="J45" s="412" t="s">
        <v>195</v>
      </c>
      <c r="K45" s="157">
        <f t="shared" ref="K45:K47" si="29">K23/3.28084^3</f>
        <v>8.3870990833314281</v>
      </c>
      <c r="L45" s="157">
        <f t="shared" si="27"/>
        <v>16.947128044669689</v>
      </c>
      <c r="O45" s="443"/>
      <c r="P45" s="444" t="str">
        <f t="shared" si="13"/>
        <v>81-120</v>
      </c>
      <c r="Q45" s="452">
        <f t="shared" si="14"/>
        <v>2.7673940160437156</v>
      </c>
      <c r="R45" s="452">
        <f t="shared" si="15"/>
        <v>5.9645893214254428</v>
      </c>
      <c r="T45" s="443"/>
      <c r="U45" s="444" t="str">
        <f t="shared" si="17"/>
        <v>81-120</v>
      </c>
      <c r="V45" s="452">
        <f t="shared" si="18"/>
        <v>8.3870990833314281</v>
      </c>
      <c r="W45" s="452">
        <f t="shared" si="19"/>
        <v>16.947128044669689</v>
      </c>
    </row>
    <row r="46" spans="4:23" ht="22" thickBot="1">
      <c r="D46" s="138"/>
      <c r="E46" s="412" t="s">
        <v>196</v>
      </c>
      <c r="F46" s="157">
        <f t="shared" ref="F46:G46" si="30">F24/3.28084^3</f>
        <v>2.4481388566464863</v>
      </c>
      <c r="G46" s="157">
        <f t="shared" si="30"/>
        <v>8.4127281780719301</v>
      </c>
      <c r="I46" s="138"/>
      <c r="J46" s="412" t="s">
        <v>196</v>
      </c>
      <c r="K46" s="157">
        <f t="shared" si="29"/>
        <v>6.5516425880975371</v>
      </c>
      <c r="L46" s="157">
        <f t="shared" si="27"/>
        <v>23.498770632767229</v>
      </c>
      <c r="O46" s="450"/>
      <c r="P46" s="451" t="str">
        <f t="shared" si="13"/>
        <v>121-160</v>
      </c>
      <c r="Q46" s="454">
        <f t="shared" si="14"/>
        <v>2.4481388566464863</v>
      </c>
      <c r="R46" s="454">
        <f t="shared" si="15"/>
        <v>8.4127281780719301</v>
      </c>
      <c r="T46" s="450"/>
      <c r="U46" s="451" t="str">
        <f t="shared" si="17"/>
        <v>121-160</v>
      </c>
      <c r="V46" s="454">
        <f t="shared" si="18"/>
        <v>6.5516425880975371</v>
      </c>
      <c r="W46" s="454">
        <f t="shared" si="19"/>
        <v>23.498770632767229</v>
      </c>
    </row>
    <row r="47" spans="4:23" ht="22" thickBot="1">
      <c r="D47" s="139"/>
      <c r="E47" s="414" t="s">
        <v>197</v>
      </c>
      <c r="F47" s="158">
        <f t="shared" ref="F47:G47" si="31">F25/3.28084^3</f>
        <v>1.2619379811738001</v>
      </c>
      <c r="G47" s="158">
        <f t="shared" si="31"/>
        <v>9.6746661592457297</v>
      </c>
      <c r="I47" s="139"/>
      <c r="J47" s="414" t="s">
        <v>197</v>
      </c>
      <c r="K47" s="158">
        <f t="shared" si="29"/>
        <v>2.2821209334605967</v>
      </c>
      <c r="L47" s="158">
        <f t="shared" si="27"/>
        <v>25.780891566227822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377E3-AFC1-384B-84B5-418FFD33D3E6}">
  <dimension ref="A1:AC42"/>
  <sheetViews>
    <sheetView workbookViewId="0">
      <selection activeCell="K4" sqref="K4"/>
    </sheetView>
  </sheetViews>
  <sheetFormatPr baseColWidth="10" defaultRowHeight="16"/>
  <cols>
    <col min="2" max="2" width="25" customWidth="1"/>
    <col min="3" max="4" width="2.6640625" customWidth="1"/>
    <col min="5" max="5" width="3.83203125" customWidth="1"/>
    <col min="6" max="6" width="4" customWidth="1"/>
    <col min="8" max="8" width="13.83203125" customWidth="1"/>
    <col min="9" max="9" width="16.83203125" customWidth="1"/>
    <col min="10" max="10" width="14" customWidth="1"/>
    <col min="11" max="11" width="19" customWidth="1"/>
    <col min="12" max="12" width="23.83203125" customWidth="1"/>
    <col min="13" max="13" width="15.33203125" customWidth="1"/>
    <col min="14" max="14" width="15" customWidth="1"/>
    <col min="15" max="15" width="22.5" customWidth="1"/>
    <col min="16" max="16" width="15.33203125" customWidth="1"/>
    <col min="17" max="17" width="5.33203125" customWidth="1"/>
  </cols>
  <sheetData>
    <row r="1" spans="1:29" ht="45" thickBot="1">
      <c r="A1" s="3" t="s">
        <v>18</v>
      </c>
      <c r="G1" s="4" t="s">
        <v>19</v>
      </c>
      <c r="H1" s="5" t="s">
        <v>20</v>
      </c>
      <c r="I1" s="6" t="s">
        <v>21</v>
      </c>
      <c r="J1" s="5" t="s">
        <v>22</v>
      </c>
      <c r="K1" s="7" t="s">
        <v>23</v>
      </c>
      <c r="L1" s="7" t="s">
        <v>24</v>
      </c>
      <c r="M1" s="7" t="s">
        <v>25</v>
      </c>
      <c r="N1" s="7" t="s">
        <v>26</v>
      </c>
      <c r="O1" s="7" t="s">
        <v>27</v>
      </c>
      <c r="P1" s="8" t="s">
        <v>0</v>
      </c>
    </row>
    <row r="2" spans="1:29" s="18" customFormat="1" ht="21" thickBot="1">
      <c r="A2" s="9">
        <v>129</v>
      </c>
      <c r="B2" s="10" t="s">
        <v>28</v>
      </c>
      <c r="C2" s="10" t="s">
        <v>29</v>
      </c>
      <c r="D2" s="10" t="s">
        <v>30</v>
      </c>
      <c r="E2" s="10"/>
      <c r="F2" s="11"/>
      <c r="G2" s="12">
        <f>13.46/PI()*12</f>
        <v>51.413412816405874</v>
      </c>
      <c r="H2" s="13">
        <v>160.1</v>
      </c>
      <c r="I2" s="14">
        <f>Coeff_2!H2*((G2^2)*H2)</f>
        <v>824.81402596992052</v>
      </c>
      <c r="J2" s="15">
        <v>0</v>
      </c>
      <c r="K2" s="16">
        <f t="shared" ref="K2" si="0">I2*(1-(J2/100))</f>
        <v>824.81402596992052</v>
      </c>
      <c r="L2" s="16">
        <f>(K2*(Coeff_1!BH2/100)*(Coeff_1!AZ2*62.4))+(K2*Coeff_1!AX2*62.4)</f>
        <v>21369.677695561168</v>
      </c>
      <c r="M2" s="16">
        <f>Coeff_2!X2*Coeff_2!Y2</f>
        <v>3373.6810434793265</v>
      </c>
      <c r="N2" s="16">
        <f>Coeff_2!W2*Coeff_2!Y2</f>
        <v>522.41109785203616</v>
      </c>
      <c r="O2" s="16">
        <f t="shared" ref="O2" si="1">L2+M2+N2</f>
        <v>25265.76983689253</v>
      </c>
      <c r="P2" s="17">
        <f>K7/((G2/12)^2/4*PI()*H2)</f>
        <v>0.42395328385900205</v>
      </c>
      <c r="AB2" s="18">
        <f>M2/L2</f>
        <v>0.15787234096563355</v>
      </c>
      <c r="AC2" s="18">
        <f>N2/L2</f>
        <v>2.4446372345641391E-2</v>
      </c>
    </row>
    <row r="3" spans="1:29" ht="17" thickBot="1"/>
    <row r="4" spans="1:29" ht="29" thickBot="1">
      <c r="I4" s="19" t="s">
        <v>31</v>
      </c>
      <c r="J4" s="19"/>
      <c r="K4" s="19">
        <f>Coeff_1!BH2/100*K2</f>
        <v>131.97024415518729</v>
      </c>
      <c r="N4" s="20" t="s">
        <v>32</v>
      </c>
      <c r="O4" s="20">
        <f>O2*(1-Coeff_2!K2)</f>
        <v>23908.696669619207</v>
      </c>
    </row>
    <row r="5" spans="1:29" ht="21" thickBot="1">
      <c r="I5" s="19" t="s">
        <v>33</v>
      </c>
      <c r="J5" s="19"/>
      <c r="K5" s="19">
        <f>K2+K4</f>
        <v>956.78427012510781</v>
      </c>
      <c r="N5" s="20" t="s">
        <v>34</v>
      </c>
      <c r="O5" s="20">
        <f>O2*Coeff_2!K2</f>
        <v>1357.0731672733225</v>
      </c>
    </row>
    <row r="6" spans="1:29" ht="21" thickBot="1">
      <c r="I6" s="19" t="s">
        <v>35</v>
      </c>
      <c r="J6" s="19"/>
      <c r="K6" s="19">
        <f>0.005454153*(Biomass!G2^2)*(1+(5.62462*Coeff_1!BJ2)+(8.50038*(Coeff_1!BJ2^2)))</f>
        <v>21.780533410381775</v>
      </c>
    </row>
    <row r="7" spans="1:29" ht="21" thickBot="1">
      <c r="I7" s="21" t="s">
        <v>36</v>
      </c>
      <c r="J7" s="22"/>
      <c r="K7" s="23">
        <f>K5+K6</f>
        <v>978.56480353548955</v>
      </c>
    </row>
    <row r="8" spans="1:29" ht="17" thickBot="1"/>
    <row r="9" spans="1:29" ht="22" thickBot="1">
      <c r="B9" s="24"/>
      <c r="C9" s="25"/>
      <c r="D9" s="25"/>
      <c r="E9" s="25"/>
      <c r="F9" s="25"/>
      <c r="G9" s="26" t="s">
        <v>37</v>
      </c>
      <c r="H9" s="27" t="s">
        <v>38</v>
      </c>
      <c r="I9" s="28" t="s">
        <v>39</v>
      </c>
      <c r="J9" s="26" t="s">
        <v>0</v>
      </c>
      <c r="K9" s="28" t="s">
        <v>40</v>
      </c>
    </row>
    <row r="10" spans="1:29" ht="22" thickBot="1">
      <c r="B10" s="29" t="s">
        <v>41</v>
      </c>
      <c r="C10" s="30"/>
      <c r="D10" s="30"/>
      <c r="E10" s="30"/>
      <c r="F10" s="30"/>
      <c r="G10" s="29">
        <f>G2/12</f>
        <v>4.2844510680338228</v>
      </c>
      <c r="H10" s="31">
        <f>PI()*G10^2/4</f>
        <v>14.417177843933814</v>
      </c>
      <c r="I10" s="32">
        <f>H2</f>
        <v>160.1</v>
      </c>
      <c r="J10" s="33">
        <v>0.44109999999999999</v>
      </c>
      <c r="K10" s="34">
        <f>H10*I10*J10</f>
        <v>1018.1426852281688</v>
      </c>
    </row>
    <row r="11" spans="1:29" ht="22" thickBot="1">
      <c r="B11" s="29" t="s">
        <v>42</v>
      </c>
      <c r="D11" s="35"/>
      <c r="E11" s="25"/>
      <c r="F11" s="25"/>
      <c r="G11" s="25"/>
      <c r="H11" s="25"/>
      <c r="I11" s="25"/>
      <c r="J11" s="36"/>
      <c r="K11" s="37">
        <f>K10*(1+N36)</f>
        <v>1113.8374910158659</v>
      </c>
      <c r="L11" s="38" t="s">
        <v>43</v>
      </c>
      <c r="M11" s="39">
        <f>Coeff_1!AX2</f>
        <v>0.34</v>
      </c>
      <c r="N11" s="39">
        <f>M11*62.4</f>
        <v>21.216000000000001</v>
      </c>
      <c r="O11" s="40" t="s">
        <v>44</v>
      </c>
    </row>
    <row r="12" spans="1:29" ht="20" thickBot="1">
      <c r="L12" s="41" t="s">
        <v>45</v>
      </c>
      <c r="M12" s="39">
        <f>Coeff_1!AZ2</f>
        <v>0.47</v>
      </c>
      <c r="N12" s="42">
        <f>M12*62.4</f>
        <v>29.327999999999999</v>
      </c>
      <c r="O12" s="43" t="s">
        <v>46</v>
      </c>
    </row>
    <row r="13" spans="1:29" ht="17" thickBot="1"/>
    <row r="14" spans="1:29" ht="17" thickBot="1">
      <c r="L14" s="44" t="s">
        <v>47</v>
      </c>
      <c r="M14" s="45"/>
      <c r="N14" s="46"/>
    </row>
    <row r="15" spans="1:29" ht="17" thickBot="1">
      <c r="L15" s="47" t="s">
        <v>48</v>
      </c>
      <c r="M15" s="48" t="s">
        <v>49</v>
      </c>
      <c r="N15" s="49" t="s">
        <v>50</v>
      </c>
    </row>
    <row r="16" spans="1:29">
      <c r="L16" s="50">
        <f>I2</f>
        <v>824.81402596992052</v>
      </c>
      <c r="M16" s="51">
        <f>N11</f>
        <v>21.216000000000001</v>
      </c>
      <c r="N16" s="52">
        <f>L16*M16</f>
        <v>17499.254374977834</v>
      </c>
    </row>
    <row r="17" spans="12:14">
      <c r="L17" s="53"/>
      <c r="M17" s="54"/>
      <c r="N17" s="55"/>
    </row>
    <row r="18" spans="12:14" ht="17" thickBot="1">
      <c r="L18" s="56"/>
      <c r="M18" s="57"/>
      <c r="N18" s="58"/>
    </row>
    <row r="19" spans="12:14" ht="17" thickBot="1">
      <c r="L19" s="47" t="s">
        <v>31</v>
      </c>
      <c r="M19" s="48" t="s">
        <v>51</v>
      </c>
      <c r="N19" s="49" t="s">
        <v>52</v>
      </c>
    </row>
    <row r="20" spans="12:14">
      <c r="L20" s="59">
        <f>K4</f>
        <v>131.97024415518729</v>
      </c>
      <c r="M20" s="51">
        <f>N12</f>
        <v>29.327999999999999</v>
      </c>
      <c r="N20" s="60">
        <f>L20*M20</f>
        <v>3870.4233205833325</v>
      </c>
    </row>
    <row r="21" spans="12:14" ht="17" thickBot="1">
      <c r="L21" s="56"/>
      <c r="M21" s="57"/>
      <c r="N21" s="58"/>
    </row>
    <row r="22" spans="12:14" ht="17" thickBot="1">
      <c r="L22" s="47" t="s">
        <v>53</v>
      </c>
      <c r="M22" s="48"/>
      <c r="N22" s="61">
        <f>N16+N20</f>
        <v>21369.677695561168</v>
      </c>
    </row>
    <row r="23" spans="12:14" ht="17" thickBot="1">
      <c r="L23" s="62"/>
      <c r="M23" s="63"/>
      <c r="N23" s="64"/>
    </row>
    <row r="24" spans="12:14" ht="17" thickBot="1">
      <c r="L24" s="47" t="s">
        <v>54</v>
      </c>
      <c r="M24" s="48" t="s">
        <v>55</v>
      </c>
      <c r="N24" s="49" t="s">
        <v>56</v>
      </c>
    </row>
    <row r="25" spans="12:14">
      <c r="L25" s="59">
        <f>K6</f>
        <v>21.780533410381775</v>
      </c>
      <c r="M25" s="51">
        <f>(Coeff_2!U2+Coeff_2!V2)/Coeff_2!T2</f>
        <v>22.263685195188739</v>
      </c>
      <c r="N25" s="52">
        <f>L25*M25</f>
        <v>484.91493923203041</v>
      </c>
    </row>
    <row r="26" spans="12:14" ht="17" thickBot="1">
      <c r="L26" s="56"/>
      <c r="M26" s="57"/>
      <c r="N26" s="58"/>
    </row>
    <row r="27" spans="12:14" ht="17" thickBot="1">
      <c r="L27" s="47" t="s">
        <v>57</v>
      </c>
      <c r="M27" s="48"/>
      <c r="N27" s="65">
        <f>N22+N25</f>
        <v>21854.592634793196</v>
      </c>
    </row>
    <row r="28" spans="12:14" ht="17" thickBot="1">
      <c r="L28" s="66"/>
      <c r="M28" s="51"/>
      <c r="N28" s="52"/>
    </row>
    <row r="29" spans="12:14" ht="17" thickBot="1">
      <c r="L29" s="47" t="s">
        <v>58</v>
      </c>
      <c r="M29" s="67"/>
      <c r="N29" s="68">
        <f>O5</f>
        <v>1357.0731672733225</v>
      </c>
    </row>
    <row r="30" spans="12:14">
      <c r="L30" s="53"/>
      <c r="M30" s="54"/>
      <c r="N30" s="55"/>
    </row>
    <row r="31" spans="12:14">
      <c r="L31" s="69" t="s">
        <v>59</v>
      </c>
      <c r="M31" s="54"/>
      <c r="N31" s="68">
        <f>O2-N27-N29</f>
        <v>2054.1040348260112</v>
      </c>
    </row>
    <row r="32" spans="12:14">
      <c r="L32" s="70"/>
      <c r="M32" s="54"/>
      <c r="N32" s="55"/>
    </row>
    <row r="33" spans="2:15">
      <c r="L33" s="53"/>
      <c r="M33" s="54"/>
      <c r="N33" s="55"/>
    </row>
    <row r="34" spans="2:15" ht="17" thickBot="1">
      <c r="L34" s="71" t="s">
        <v>60</v>
      </c>
      <c r="M34" s="72"/>
      <c r="N34" s="73">
        <f>N27+N29+N31</f>
        <v>25265.76983689253</v>
      </c>
    </row>
    <row r="35" spans="2:15" ht="17" thickBot="1">
      <c r="L35" s="74" t="s">
        <v>61</v>
      </c>
      <c r="M35" s="75"/>
      <c r="N35" s="76">
        <f>N31/N34</f>
        <v>8.129987916800592E-2</v>
      </c>
    </row>
    <row r="36" spans="2:15" ht="17" thickBot="1">
      <c r="L36" s="74" t="s">
        <v>62</v>
      </c>
      <c r="M36" s="24"/>
      <c r="N36" s="77">
        <f>N31/(N27)</f>
        <v>9.3989582379852429E-2</v>
      </c>
    </row>
    <row r="37" spans="2:15" ht="22" thickBot="1">
      <c r="K37" s="77" t="s">
        <v>63</v>
      </c>
      <c r="L37" s="78">
        <f>L16+L20+L25</f>
        <v>978.56480353548955</v>
      </c>
    </row>
    <row r="40" spans="2:15" ht="17" thickBot="1"/>
    <row r="41" spans="2:15" ht="17" thickBot="1">
      <c r="B41" s="44" t="s">
        <v>64</v>
      </c>
      <c r="C41" s="25"/>
      <c r="D41" s="25"/>
      <c r="E41" s="25"/>
      <c r="F41" s="36"/>
      <c r="G41" s="47" t="s">
        <v>65</v>
      </c>
      <c r="H41" s="48" t="s">
        <v>66</v>
      </c>
      <c r="I41" s="48" t="s">
        <v>67</v>
      </c>
      <c r="J41" s="48" t="s">
        <v>68</v>
      </c>
      <c r="K41" s="49" t="s">
        <v>69</v>
      </c>
    </row>
    <row r="42" spans="2:15" ht="17" thickBot="1">
      <c r="G42" s="79"/>
      <c r="H42" s="80">
        <f>G42/PI()/2</f>
        <v>0</v>
      </c>
      <c r="I42" s="81"/>
      <c r="J42" s="80">
        <f>I42/PI()/2</f>
        <v>0</v>
      </c>
      <c r="K42" s="82">
        <f>PI()*0.333*1*(H42^2+H42*J42+J42^2)</f>
        <v>0</v>
      </c>
      <c r="L42" s="44" t="s">
        <v>70</v>
      </c>
      <c r="M42" s="25"/>
      <c r="N42" s="25"/>
      <c r="O42" s="36"/>
    </row>
  </sheetData>
  <sheetProtection sheet="1" objects="1" scenario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A0B0B-9FD2-3E49-9E12-E49867354950}">
  <dimension ref="A1:CJ5"/>
  <sheetViews>
    <sheetView topLeftCell="AP1" workbookViewId="0">
      <selection activeCell="AX2" sqref="AX2"/>
    </sheetView>
  </sheetViews>
  <sheetFormatPr baseColWidth="10" defaultRowHeight="16"/>
  <cols>
    <col min="1" max="5" width="2" customWidth="1"/>
    <col min="6" max="10" width="3.1640625" customWidth="1"/>
    <col min="11" max="11" width="5.6640625" customWidth="1"/>
    <col min="12" max="37" width="3.1640625" customWidth="1"/>
    <col min="38" max="65" width="36.6640625" customWidth="1"/>
  </cols>
  <sheetData>
    <row r="1" spans="1:88" s="84" customFormat="1" ht="13">
      <c r="A1" s="83" t="s">
        <v>71</v>
      </c>
      <c r="B1" s="83" t="s">
        <v>72</v>
      </c>
      <c r="C1" s="83" t="s">
        <v>73</v>
      </c>
      <c r="D1" s="83" t="s">
        <v>74</v>
      </c>
      <c r="E1" s="83" t="s">
        <v>75</v>
      </c>
      <c r="F1" s="83" t="s">
        <v>76</v>
      </c>
      <c r="G1" s="83" t="s">
        <v>77</v>
      </c>
      <c r="H1" s="83" t="s">
        <v>78</v>
      </c>
      <c r="I1" s="83" t="s">
        <v>79</v>
      </c>
      <c r="J1" s="83" t="s">
        <v>80</v>
      </c>
      <c r="K1" s="83" t="s">
        <v>81</v>
      </c>
      <c r="L1" s="83" t="s">
        <v>82</v>
      </c>
      <c r="M1" s="83" t="s">
        <v>83</v>
      </c>
      <c r="N1" s="83" t="s">
        <v>84</v>
      </c>
      <c r="O1" s="83" t="s">
        <v>85</v>
      </c>
      <c r="P1" s="83" t="s">
        <v>86</v>
      </c>
      <c r="Q1" s="83" t="s">
        <v>87</v>
      </c>
      <c r="R1" s="83" t="s">
        <v>88</v>
      </c>
      <c r="S1" s="83" t="s">
        <v>89</v>
      </c>
      <c r="T1" s="83" t="s">
        <v>90</v>
      </c>
      <c r="U1" s="83" t="s">
        <v>91</v>
      </c>
      <c r="V1" s="83" t="s">
        <v>92</v>
      </c>
      <c r="W1" s="83" t="s">
        <v>93</v>
      </c>
      <c r="X1" s="83" t="s">
        <v>94</v>
      </c>
      <c r="Y1" s="83" t="s">
        <v>95</v>
      </c>
      <c r="Z1" s="83" t="s">
        <v>96</v>
      </c>
      <c r="AA1" s="83" t="s">
        <v>97</v>
      </c>
      <c r="AB1" s="83" t="s">
        <v>98</v>
      </c>
      <c r="AC1" s="83" t="s">
        <v>99</v>
      </c>
      <c r="AD1" s="83" t="s">
        <v>100</v>
      </c>
      <c r="AE1" s="83" t="s">
        <v>101</v>
      </c>
      <c r="AF1" s="83" t="s">
        <v>102</v>
      </c>
      <c r="AG1" s="83" t="s">
        <v>103</v>
      </c>
      <c r="AH1" s="83" t="s">
        <v>104</v>
      </c>
      <c r="AI1" s="83" t="s">
        <v>105</v>
      </c>
      <c r="AJ1" s="83" t="s">
        <v>106</v>
      </c>
      <c r="AK1" s="83" t="s">
        <v>107</v>
      </c>
      <c r="AL1" s="83" t="s">
        <v>108</v>
      </c>
      <c r="AM1" s="83" t="s">
        <v>109</v>
      </c>
      <c r="AN1" s="83" t="s">
        <v>110</v>
      </c>
      <c r="AO1" s="83" t="s">
        <v>111</v>
      </c>
      <c r="AP1" s="83" t="s">
        <v>112</v>
      </c>
      <c r="AQ1" s="83" t="s">
        <v>113</v>
      </c>
      <c r="AR1" s="83" t="s">
        <v>114</v>
      </c>
      <c r="AS1" s="83" t="s">
        <v>115</v>
      </c>
      <c r="AT1" s="83" t="s">
        <v>116</v>
      </c>
      <c r="AU1" s="83" t="s">
        <v>117</v>
      </c>
      <c r="AV1" s="83" t="s">
        <v>118</v>
      </c>
      <c r="AW1" s="83" t="s">
        <v>119</v>
      </c>
      <c r="AX1" s="83" t="s">
        <v>120</v>
      </c>
      <c r="AY1" s="83" t="s">
        <v>121</v>
      </c>
      <c r="AZ1" s="83" t="s">
        <v>122</v>
      </c>
      <c r="BA1" s="83" t="s">
        <v>123</v>
      </c>
      <c r="BB1" s="83" t="s">
        <v>124</v>
      </c>
      <c r="BC1" s="83" t="s">
        <v>125</v>
      </c>
      <c r="BD1" s="83" t="s">
        <v>126</v>
      </c>
      <c r="BE1" s="83" t="s">
        <v>127</v>
      </c>
      <c r="BF1" s="83" t="s">
        <v>128</v>
      </c>
      <c r="BG1" s="83" t="s">
        <v>129</v>
      </c>
      <c r="BH1" s="83" t="s">
        <v>130</v>
      </c>
      <c r="BI1" s="83" t="s">
        <v>131</v>
      </c>
      <c r="BJ1" s="83" t="s">
        <v>132</v>
      </c>
      <c r="BK1" s="83" t="s">
        <v>133</v>
      </c>
      <c r="BL1" s="83" t="s">
        <v>134</v>
      </c>
    </row>
    <row r="2" spans="1:88">
      <c r="B2" s="85"/>
      <c r="C2" s="85"/>
      <c r="D2" s="86" t="s">
        <v>135</v>
      </c>
      <c r="E2" s="86">
        <v>129</v>
      </c>
      <c r="F2" s="87" t="s">
        <v>28</v>
      </c>
      <c r="G2" s="87" t="s">
        <v>29</v>
      </c>
      <c r="H2" s="87" t="s">
        <v>30</v>
      </c>
      <c r="I2" s="87"/>
      <c r="J2" s="87"/>
      <c r="K2" s="87" t="s">
        <v>136</v>
      </c>
      <c r="L2" s="86">
        <v>4</v>
      </c>
      <c r="M2" s="86">
        <v>4</v>
      </c>
      <c r="N2" s="86">
        <v>1</v>
      </c>
      <c r="O2" s="86"/>
      <c r="P2" s="86"/>
      <c r="Q2" s="87" t="s">
        <v>137</v>
      </c>
      <c r="R2" s="87" t="s">
        <v>137</v>
      </c>
      <c r="S2" s="87"/>
      <c r="T2" s="88"/>
      <c r="U2" s="88" t="s">
        <v>137</v>
      </c>
      <c r="V2" s="88" t="s">
        <v>137</v>
      </c>
      <c r="W2" s="88" t="s">
        <v>138</v>
      </c>
      <c r="X2" s="88" t="s">
        <v>137</v>
      </c>
      <c r="Y2" s="88" t="s">
        <v>137</v>
      </c>
      <c r="Z2" s="88"/>
      <c r="AA2" s="88"/>
      <c r="AB2" s="88" t="s">
        <v>137</v>
      </c>
      <c r="AC2" s="88" t="s">
        <v>139</v>
      </c>
      <c r="AD2" s="88"/>
      <c r="AE2" s="88"/>
      <c r="AF2" s="89"/>
      <c r="AG2" s="89"/>
      <c r="AH2" s="88" t="s">
        <v>140</v>
      </c>
      <c r="AI2" s="90"/>
      <c r="AJ2" s="88" t="s">
        <v>141</v>
      </c>
      <c r="AK2" s="88" t="s">
        <v>142</v>
      </c>
      <c r="AL2" s="91">
        <v>4</v>
      </c>
      <c r="AM2" s="88" t="s">
        <v>143</v>
      </c>
      <c r="AN2" s="88" t="s">
        <v>144</v>
      </c>
      <c r="AO2" s="92">
        <v>-0.37369999999999998</v>
      </c>
      <c r="AP2" s="93">
        <v>-1.8055000000000001</v>
      </c>
      <c r="AQ2" s="93">
        <v>-2.0979999999999999</v>
      </c>
      <c r="AR2" s="93">
        <v>-1.1432</v>
      </c>
      <c r="AS2" s="93">
        <v>-2.9584000000000001</v>
      </c>
      <c r="AT2" s="93">
        <v>4.4766000000000004</v>
      </c>
      <c r="AU2" s="93">
        <v>-1.5619000000000001</v>
      </c>
      <c r="AV2" s="93">
        <v>0.66139999999999999</v>
      </c>
      <c r="AW2" s="93">
        <v>0.72911000000000004</v>
      </c>
      <c r="AX2" s="93">
        <v>0.34</v>
      </c>
      <c r="AY2" s="92">
        <v>1</v>
      </c>
      <c r="AZ2" s="93">
        <v>0.47</v>
      </c>
      <c r="BA2" s="92">
        <v>4</v>
      </c>
      <c r="BB2" s="93">
        <v>64.970590000000001</v>
      </c>
      <c r="BC2" s="92">
        <v>22</v>
      </c>
      <c r="BD2" s="93">
        <v>70.489360000000005</v>
      </c>
      <c r="BE2" s="92">
        <v>22</v>
      </c>
      <c r="BF2" s="93">
        <v>0.35</v>
      </c>
      <c r="BG2" s="92">
        <v>1</v>
      </c>
      <c r="BH2" s="93">
        <v>16</v>
      </c>
      <c r="BI2" s="92">
        <v>35</v>
      </c>
      <c r="BJ2" s="93">
        <v>8.0909999999999996E-2</v>
      </c>
      <c r="BK2" s="93">
        <v>0.90698000000000001</v>
      </c>
      <c r="BL2" s="93">
        <v>8.4690000000000001E-2</v>
      </c>
      <c r="BM2" s="94"/>
      <c r="BN2" s="94"/>
      <c r="BO2" s="94"/>
      <c r="BP2" s="94"/>
      <c r="BQ2" s="94"/>
      <c r="BR2" s="94"/>
      <c r="BS2" s="94"/>
      <c r="BT2" s="94"/>
      <c r="BU2" s="94"/>
      <c r="BV2" s="94"/>
      <c r="BW2" s="94"/>
      <c r="BX2" s="94"/>
      <c r="BY2" s="94"/>
      <c r="BZ2" s="94"/>
      <c r="CA2" s="94"/>
      <c r="CB2" s="94"/>
      <c r="CC2" s="94"/>
      <c r="CD2" s="94"/>
      <c r="CE2" s="94"/>
      <c r="CF2" s="94"/>
      <c r="CG2" s="94"/>
      <c r="CH2" s="94"/>
      <c r="CI2" s="94"/>
      <c r="CJ2" s="94"/>
    </row>
    <row r="5" spans="1:88">
      <c r="A5" s="95"/>
      <c r="B5" s="95"/>
      <c r="C5" s="95"/>
      <c r="D5" s="95"/>
    </row>
  </sheetData>
  <sheetProtection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B0155-CCBA-F64D-80D4-262C7350B22C}">
  <dimension ref="A1:Y4"/>
  <sheetViews>
    <sheetView topLeftCell="N1" workbookViewId="0">
      <selection activeCell="Y3" sqref="Y3"/>
    </sheetView>
  </sheetViews>
  <sheetFormatPr baseColWidth="10" defaultRowHeight="16"/>
  <cols>
    <col min="1" max="25" width="26.1640625" customWidth="1"/>
  </cols>
  <sheetData>
    <row r="1" spans="1:25" s="100" customFormat="1" ht="13">
      <c r="A1" s="96" t="s">
        <v>72</v>
      </c>
      <c r="B1" s="96" t="s">
        <v>73</v>
      </c>
      <c r="C1" s="96" t="s">
        <v>74</v>
      </c>
      <c r="D1" s="96" t="s">
        <v>75</v>
      </c>
      <c r="E1" s="96" t="s">
        <v>76</v>
      </c>
      <c r="F1" s="96" t="s">
        <v>77</v>
      </c>
      <c r="G1" s="97"/>
      <c r="H1" s="97" t="s">
        <v>145</v>
      </c>
      <c r="I1" s="98" t="s">
        <v>146</v>
      </c>
      <c r="J1" s="98" t="s">
        <v>147</v>
      </c>
      <c r="K1" s="98" t="s">
        <v>148</v>
      </c>
      <c r="L1" s="97" t="s">
        <v>149</v>
      </c>
      <c r="M1" s="99" t="s">
        <v>150</v>
      </c>
      <c r="N1" s="97" t="s">
        <v>151</v>
      </c>
      <c r="O1" s="97" t="s">
        <v>152</v>
      </c>
      <c r="P1" s="97" t="s">
        <v>153</v>
      </c>
      <c r="Q1" s="97" t="s">
        <v>154</v>
      </c>
      <c r="R1" s="97" t="s">
        <v>155</v>
      </c>
      <c r="S1" s="97" t="s">
        <v>156</v>
      </c>
      <c r="T1" s="97" t="s">
        <v>157</v>
      </c>
      <c r="U1" s="97" t="s">
        <v>158</v>
      </c>
      <c r="V1" s="97" t="s">
        <v>159</v>
      </c>
      <c r="W1" s="97" t="s">
        <v>160</v>
      </c>
      <c r="X1" s="99" t="s">
        <v>161</v>
      </c>
      <c r="Y1" s="98" t="s">
        <v>162</v>
      </c>
    </row>
    <row r="2" spans="1:25" s="110" customFormat="1" ht="13">
      <c r="A2" s="101">
        <v>129</v>
      </c>
      <c r="B2" s="102" t="s">
        <v>28</v>
      </c>
      <c r="C2" s="102" t="s">
        <v>29</v>
      </c>
      <c r="D2" s="102" t="s">
        <v>30</v>
      </c>
      <c r="E2" s="102"/>
      <c r="F2" s="102"/>
      <c r="G2" s="103"/>
      <c r="H2" s="95">
        <v>1.949E-3</v>
      </c>
      <c r="I2" s="104">
        <f>EXP(Coeff_1!AO2+(Coeff_1!AP2/(Biomass!G2*2.54)))</f>
        <v>0.67873418593701484</v>
      </c>
      <c r="J2" s="104">
        <f>EXP(Coeff_1!AQ2+(Coeff_1!AR2/(Biomass!G2*2.54)))</f>
        <v>0.12163213073445321</v>
      </c>
      <c r="K2" s="104">
        <f>EXP(Coeff_1!AS2+(Coeff_1!AT2/(Biomass!G2*2.54)))</f>
        <v>5.3711926295305419E-2</v>
      </c>
      <c r="L2" s="103">
        <f>EXP(Coeff_1!AU2+(Coeff_1!AV2/(Biomass!G2*2.54)))</f>
        <v>0.21080214300137265</v>
      </c>
      <c r="M2" s="105">
        <f>(EXP(Coeff_1!AM2+(Coeff_1!AN2*(LN(Biomass!G2*2.54)))))*2.2046</f>
        <v>24783.482875847043</v>
      </c>
      <c r="N2" s="105">
        <f t="shared" ref="N2" si="0">M2*I2</f>
        <v>16821.397074421991</v>
      </c>
      <c r="O2" s="105">
        <f t="shared" ref="O2" si="1">M2*J2</f>
        <v>3014.4678292101098</v>
      </c>
      <c r="P2" s="105">
        <f t="shared" ref="P2" si="2">N2+O2</f>
        <v>19835.8649036321</v>
      </c>
      <c r="Q2" s="106">
        <f t="shared" ref="Q2" si="3">M2*K2</f>
        <v>1331.1686055684604</v>
      </c>
      <c r="R2" s="106">
        <f t="shared" ref="R2" si="4">M2*L2</f>
        <v>5224.4113012663784</v>
      </c>
      <c r="S2" s="107">
        <f>0.005454153*(Biomass!G2^2)*((Coeff_1!BK2^2)+(5.62462*Coeff_1!BK2*Coeff_1!BL2)+(8.50038*(Coeff_1!BL2^2)))</f>
        <v>18.967522759818326</v>
      </c>
      <c r="T2" s="107">
        <f>0.005454153*(Biomass!G2^2)*(1+(5.62462*Coeff_1!BJ2)+(8.50038*(Coeff_1!BJ2^2)))</f>
        <v>21.780533410381775</v>
      </c>
      <c r="U2" s="107">
        <f>(T2-S2)*62.4*Coeff_1!AZ2</f>
        <v>82.499976359724812</v>
      </c>
      <c r="V2" s="108">
        <f>S2*62.4*Coeff_1!AX2</f>
        <v>402.41496287230558</v>
      </c>
      <c r="W2" s="109">
        <f t="shared" ref="W2" si="5">U2+V2</f>
        <v>484.91493923203041</v>
      </c>
      <c r="X2" s="106">
        <f t="shared" ref="X2" si="6">M2-N2-O2-Q2-W2</f>
        <v>3131.5344274144509</v>
      </c>
      <c r="Y2" s="109">
        <f>Biomass!L2/P2</f>
        <v>1.0773252287904125</v>
      </c>
    </row>
    <row r="4" spans="1:25">
      <c r="B4" s="111"/>
    </row>
  </sheetData>
  <sheetProtection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FC74A-D802-D64B-83C9-45566B9D0817}">
  <dimension ref="B2:H14"/>
  <sheetViews>
    <sheetView workbookViewId="0">
      <selection activeCell="H13" sqref="H13"/>
    </sheetView>
  </sheetViews>
  <sheetFormatPr baseColWidth="10" defaultRowHeight="16"/>
  <cols>
    <col min="3" max="8" width="12.5" customWidth="1"/>
  </cols>
  <sheetData>
    <row r="2" spans="2:8" ht="17" thickBot="1"/>
    <row r="3" spans="2:8" ht="25" thickBot="1">
      <c r="B3" s="256" t="s">
        <v>281</v>
      </c>
      <c r="C3" s="25"/>
      <c r="D3" s="25"/>
      <c r="E3" s="25"/>
      <c r="F3" s="25"/>
      <c r="G3" s="25"/>
      <c r="H3" s="36"/>
    </row>
    <row r="4" spans="2:8" ht="22" thickBot="1">
      <c r="B4" s="332" t="s">
        <v>278</v>
      </c>
      <c r="C4" s="333" t="s">
        <v>227</v>
      </c>
      <c r="D4" s="333" t="s">
        <v>228</v>
      </c>
      <c r="E4" s="333" t="s">
        <v>229</v>
      </c>
      <c r="F4" s="333" t="s">
        <v>230</v>
      </c>
      <c r="G4" s="333" t="s">
        <v>279</v>
      </c>
      <c r="H4" s="334" t="s">
        <v>280</v>
      </c>
    </row>
    <row r="5" spans="2:8" ht="21">
      <c r="B5" s="330">
        <v>10</v>
      </c>
      <c r="C5" s="331">
        <f>Constructions!R5</f>
        <v>3.7960911230876665E-2</v>
      </c>
      <c r="D5" s="331">
        <f>Constructions!R19</f>
        <v>5.4663712172462388E-2</v>
      </c>
      <c r="E5" s="331">
        <f>Constructions!R33</f>
        <v>6.0130083389708634E-2</v>
      </c>
      <c r="F5" s="331">
        <f>Constructions!R47</f>
        <v>0.11175692266370092</v>
      </c>
      <c r="G5" s="331">
        <f>Constructions!R61</f>
        <v>0.17462019166203266</v>
      </c>
      <c r="H5" s="331">
        <f>Constructions!R75</f>
        <v>9.3953255296419735E-2</v>
      </c>
    </row>
    <row r="6" spans="2:8" ht="21">
      <c r="B6" s="116">
        <v>30</v>
      </c>
      <c r="C6" s="119">
        <f>Constructions!R6</f>
        <v>0.49586440295332646</v>
      </c>
      <c r="D6" s="119">
        <f>Constructions!R20</f>
        <v>0.83939166913714502</v>
      </c>
      <c r="E6" s="119">
        <f>Constructions!R34</f>
        <v>1.2226450289240758</v>
      </c>
      <c r="F6" s="119">
        <f>Constructions!R48</f>
        <v>1.8224843677387734</v>
      </c>
      <c r="G6" s="119">
        <f>Constructions!R62</f>
        <v>2.9737059421819554</v>
      </c>
      <c r="H6" s="119">
        <f>Constructions!R76</f>
        <v>2.9210921192159596</v>
      </c>
    </row>
    <row r="7" spans="2:8" ht="21">
      <c r="B7" s="116">
        <v>50</v>
      </c>
      <c r="C7" s="119">
        <f>Constructions!R7</f>
        <v>1.0252293100679015</v>
      </c>
      <c r="D7" s="119">
        <f>Constructions!R21</f>
        <v>1.3842066671226871</v>
      </c>
      <c r="E7" s="119">
        <f>Constructions!R35</f>
        <v>1.8773948258342368</v>
      </c>
      <c r="F7" s="119">
        <f>Constructions!R49</f>
        <v>3.1023364898877803</v>
      </c>
      <c r="G7" s="119">
        <f>Constructions!R63</f>
        <v>5.1007317202704368</v>
      </c>
      <c r="H7" s="119">
        <f>Constructions!R77</f>
        <v>5.1783428032819607</v>
      </c>
    </row>
    <row r="8" spans="2:8" ht="21">
      <c r="B8" s="116">
        <v>70</v>
      </c>
      <c r="C8" s="119">
        <f>Constructions!R8</f>
        <v>1.086669044895076</v>
      </c>
      <c r="D8" s="121">
        <f>Constructions!R22</f>
        <v>1.9281106032386877</v>
      </c>
      <c r="E8" s="119">
        <f>Constructions!R36</f>
        <v>2.4852249364630343</v>
      </c>
      <c r="F8" s="119">
        <f>Constructions!R50</f>
        <v>3.5440116920590277</v>
      </c>
      <c r="G8" s="119">
        <f>Constructions!R64</f>
        <v>5.7256043819963383</v>
      </c>
      <c r="H8" s="119">
        <f>Constructions!R78</f>
        <v>7.0152950233136071</v>
      </c>
    </row>
    <row r="9" spans="2:8" ht="21">
      <c r="B9" s="116">
        <v>90</v>
      </c>
      <c r="C9" s="121">
        <f>Constructions!R9</f>
        <v>1.0911863933315502</v>
      </c>
      <c r="D9" s="119">
        <f>Constructions!R23</f>
        <v>1.6699764068687259</v>
      </c>
      <c r="E9" s="121">
        <f>Constructions!R37</f>
        <v>2.5262227205923806</v>
      </c>
      <c r="F9" s="121">
        <f>Constructions!R51</f>
        <v>3.580036596817135</v>
      </c>
      <c r="G9" s="121">
        <f>Constructions!R65</f>
        <v>6.1350724082519692</v>
      </c>
      <c r="H9" s="119">
        <f>Constructions!R79</f>
        <v>7.3253882169308273</v>
      </c>
    </row>
    <row r="10" spans="2:8" ht="21">
      <c r="B10" s="116">
        <v>110</v>
      </c>
      <c r="C10" s="119">
        <f>Constructions!R10</f>
        <v>0.97142920862594051</v>
      </c>
      <c r="D10" s="119">
        <f>Constructions!R24</f>
        <v>1.4315818843388215</v>
      </c>
      <c r="E10" s="119">
        <f>Constructions!R38</f>
        <v>2.3602576166909857</v>
      </c>
      <c r="F10" s="119">
        <f>Constructions!R52</f>
        <v>2.6465018678274106</v>
      </c>
      <c r="G10" s="119">
        <f>Constructions!R66</f>
        <v>5.925139268721975</v>
      </c>
      <c r="H10" s="121">
        <f>Constructions!R80</f>
        <v>7.483993649167334</v>
      </c>
    </row>
    <row r="11" spans="2:8" ht="21">
      <c r="B11" s="116">
        <v>130</v>
      </c>
      <c r="C11" s="119">
        <f>Constructions!R11</f>
        <v>0.80358503961861982</v>
      </c>
      <c r="D11" s="119">
        <f>Constructions!R25</f>
        <v>1.2123955828917374</v>
      </c>
      <c r="E11" s="119">
        <f>Constructions!R39</f>
        <v>2.2126276329141064</v>
      </c>
      <c r="F11" s="119">
        <f>Constructions!R53</f>
        <v>2.4527114159937953</v>
      </c>
      <c r="G11" s="119">
        <f>Constructions!R67</f>
        <v>4.9283219924693809</v>
      </c>
      <c r="H11" s="119">
        <f>Constructions!R81</f>
        <v>6.6724652888736671</v>
      </c>
    </row>
    <row r="12" spans="2:8" ht="21">
      <c r="B12" s="116">
        <v>150</v>
      </c>
      <c r="C12" s="119">
        <f>Constructions!R12</f>
        <v>0.6548257187326243</v>
      </c>
      <c r="D12" s="119">
        <f>Constructions!R26</f>
        <v>0.8777321894803336</v>
      </c>
      <c r="E12" s="119">
        <f>Constructions!R40</f>
        <v>2.1101331725907442</v>
      </c>
      <c r="F12" s="119">
        <f>Constructions!R54</f>
        <v>2.1125247099982856</v>
      </c>
      <c r="G12" s="119">
        <f>Constructions!R68</f>
        <v>3.2320749267878739</v>
      </c>
      <c r="H12" s="119">
        <f>Constructions!R82</f>
        <v>4.8959895455467004</v>
      </c>
    </row>
    <row r="13" spans="2:8" ht="21">
      <c r="B13" s="116">
        <v>170</v>
      </c>
      <c r="C13" s="119">
        <f>Constructions!R13</f>
        <v>0.45874812199733767</v>
      </c>
      <c r="D13" s="119">
        <f>Constructions!R27</f>
        <v>0.60172789414843353</v>
      </c>
      <c r="E13" s="119">
        <f>Constructions!R41</f>
        <v>1.2201680794662593</v>
      </c>
      <c r="F13" s="119">
        <f>Constructions!R55</f>
        <v>1.1176309131177617</v>
      </c>
      <c r="G13" s="119">
        <f>Constructions!R69</f>
        <v>2.0434662202870753</v>
      </c>
      <c r="H13" s="119">
        <f>Constructions!R83</f>
        <v>2.7867484543698824</v>
      </c>
    </row>
    <row r="14" spans="2:8" ht="21">
      <c r="B14" s="116">
        <v>190</v>
      </c>
      <c r="C14" s="119">
        <f>Constructions!R14</f>
        <v>0.29564432177997019</v>
      </c>
      <c r="D14" s="119">
        <f>Constructions!R28</f>
        <v>0.38272665214360019</v>
      </c>
      <c r="E14" s="119">
        <f>Constructions!R42</f>
        <v>0.73684975767473593</v>
      </c>
      <c r="F14" s="119">
        <f>Constructions!R56</f>
        <v>0.88861154938340403</v>
      </c>
      <c r="G14" s="119">
        <f>Constructions!R70</f>
        <v>1.7538320597777328</v>
      </c>
      <c r="H14" s="119">
        <f>Constructions!R84</f>
        <v>2.0509355040831396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Explanation</vt:lpstr>
      <vt:lpstr>Constructions</vt:lpstr>
      <vt:lpstr>Sheet1</vt:lpstr>
      <vt:lpstr>40-yr tree class summary</vt:lpstr>
      <vt:lpstr>Biomass</vt:lpstr>
      <vt:lpstr>Coeff_1</vt:lpstr>
      <vt:lpstr>Coeff_2</vt:lpstr>
      <vt:lpstr>Annual 20Yr Growth-from 10 </vt:lpstr>
      <vt:lpstr>Average Tree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Office User</cp:lastModifiedBy>
  <dcterms:created xsi:type="dcterms:W3CDTF">2019-10-04T20:10:41Z</dcterms:created>
  <dcterms:modified xsi:type="dcterms:W3CDTF">2020-01-20T16:18:48Z</dcterms:modified>
  <cp:category/>
</cp:coreProperties>
</file>