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Users/dbhguru/Desktop/VOLUMES-TRUNK&amp;LIMBS/"/>
    </mc:Choice>
  </mc:AlternateContent>
  <xr:revisionPtr revIDLastSave="0" documentId="13_ncr:1_{C7162D00-B3F2-6347-B397-C42EC45D3ABC}" xr6:coauthVersionLast="36" xr6:coauthVersionMax="36" xr10:uidLastSave="{00000000-0000-0000-0000-000000000000}"/>
  <bookViews>
    <workbookView xWindow="3000" yWindow="1320" windowWidth="41340" windowHeight="26320" xr2:uid="{89AA59F0-B0F7-6846-92DB-F39F8F3AE6FD}"/>
  </bookViews>
  <sheets>
    <sheet name="BioMass" sheetId="3" r:id="rId1"/>
    <sheet name="Coeff_1" sheetId="1" r:id="rId2"/>
    <sheet name="Coeff_2" sheetId="2" r:id="rId3"/>
    <sheet name="foVSF"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0" i="3" l="1"/>
  <c r="L40" i="3" l="1"/>
  <c r="W18" i="4" l="1"/>
  <c r="W17" i="4"/>
  <c r="W16" i="4"/>
  <c r="W15" i="4"/>
  <c r="W14" i="4"/>
  <c r="W13" i="4"/>
  <c r="W12" i="4"/>
  <c r="W11" i="4"/>
  <c r="W10" i="4"/>
  <c r="W9" i="4"/>
  <c r="W8" i="4"/>
  <c r="W7" i="4"/>
  <c r="W6" i="4"/>
  <c r="W5" i="4"/>
  <c r="W4" i="4"/>
  <c r="W3" i="4"/>
  <c r="G18" i="4"/>
  <c r="G17" i="4"/>
  <c r="G16" i="4"/>
  <c r="G15" i="4"/>
  <c r="G14" i="4"/>
  <c r="G13" i="4"/>
  <c r="G12" i="4"/>
  <c r="G11" i="4"/>
  <c r="G10" i="4"/>
  <c r="G9" i="4"/>
  <c r="G8" i="4"/>
  <c r="G7" i="4"/>
  <c r="G19" i="4" s="1"/>
  <c r="F21" i="4" s="1"/>
  <c r="G6" i="4"/>
  <c r="G5" i="4"/>
  <c r="G4" i="4"/>
  <c r="G3" i="4"/>
  <c r="L7" i="3"/>
  <c r="V18" i="4"/>
  <c r="V17" i="4"/>
  <c r="V16" i="4"/>
  <c r="V15" i="4"/>
  <c r="V14" i="4"/>
  <c r="V13" i="4"/>
  <c r="V12" i="4"/>
  <c r="V11" i="4"/>
  <c r="V10" i="4"/>
  <c r="V9" i="4"/>
  <c r="V8" i="4"/>
  <c r="V7" i="4"/>
  <c r="V6" i="4"/>
  <c r="V5" i="4"/>
  <c r="V4" i="4"/>
  <c r="V3" i="4"/>
  <c r="U18" i="4"/>
  <c r="U17" i="4"/>
  <c r="U16" i="4"/>
  <c r="U15" i="4"/>
  <c r="U14" i="4"/>
  <c r="U13" i="4"/>
  <c r="U12" i="4"/>
  <c r="U11" i="4"/>
  <c r="U10" i="4"/>
  <c r="U9" i="4"/>
  <c r="U8" i="4"/>
  <c r="U7" i="4"/>
  <c r="U6" i="4"/>
  <c r="U5" i="4"/>
  <c r="U4" i="4"/>
  <c r="U3" i="4"/>
  <c r="T18" i="4"/>
  <c r="T17" i="4"/>
  <c r="T16" i="4"/>
  <c r="T15" i="4"/>
  <c r="T14" i="4"/>
  <c r="T13" i="4"/>
  <c r="T12" i="4"/>
  <c r="T11" i="4"/>
  <c r="T10" i="4"/>
  <c r="T9" i="4"/>
  <c r="T8" i="4"/>
  <c r="T7" i="4"/>
  <c r="T6" i="4"/>
  <c r="T5" i="4"/>
  <c r="T4" i="4"/>
  <c r="T3" i="4"/>
  <c r="H19" i="4" l="1"/>
  <c r="H2" i="3"/>
  <c r="G2" i="3"/>
  <c r="M38" i="4" l="1"/>
  <c r="M36" i="4"/>
  <c r="Y32" i="4"/>
  <c r="E19" i="4" l="1"/>
  <c r="D19" i="4"/>
  <c r="C19" i="4"/>
  <c r="B19" i="4"/>
  <c r="X17" i="4"/>
  <c r="V32" i="4"/>
  <c r="X18" i="4"/>
  <c r="X14" i="4"/>
  <c r="X13" i="4"/>
  <c r="X10" i="4"/>
  <c r="X9" i="4"/>
  <c r="X6" i="4"/>
  <c r="X5" i="4"/>
  <c r="X3" i="4" l="1"/>
  <c r="X7" i="4"/>
  <c r="X15" i="4"/>
  <c r="X4" i="4"/>
  <c r="X8" i="4"/>
  <c r="X12" i="4"/>
  <c r="X16" i="4"/>
  <c r="X11" i="4"/>
  <c r="D47" i="4"/>
  <c r="D46" i="4"/>
  <c r="D45" i="4"/>
  <c r="D44" i="4"/>
  <c r="D43" i="4"/>
  <c r="D42" i="4"/>
  <c r="D41" i="4"/>
  <c r="D40" i="4"/>
  <c r="D39" i="4"/>
  <c r="D38" i="4"/>
  <c r="D37" i="4"/>
  <c r="D36" i="4"/>
  <c r="D35" i="4"/>
  <c r="D34" i="4"/>
  <c r="D33" i="4"/>
  <c r="D32" i="4"/>
  <c r="A47" i="4"/>
  <c r="A46" i="4"/>
  <c r="A45" i="4"/>
  <c r="A44" i="4"/>
  <c r="A43" i="4"/>
  <c r="A42" i="4"/>
  <c r="A41" i="4"/>
  <c r="A40" i="4"/>
  <c r="A39" i="4"/>
  <c r="A38" i="4"/>
  <c r="A37" i="4"/>
  <c r="A36" i="4"/>
  <c r="A35" i="4"/>
  <c r="A34" i="4"/>
  <c r="A33" i="4"/>
  <c r="A32" i="4"/>
  <c r="X32" i="4" l="1"/>
  <c r="Y34" i="4" s="1"/>
  <c r="C48" i="4"/>
  <c r="B47" i="4"/>
  <c r="F47" i="4" s="1"/>
  <c r="B46" i="4"/>
  <c r="B45" i="4"/>
  <c r="B44" i="4"/>
  <c r="B43" i="4"/>
  <c r="B42" i="4"/>
  <c r="F42" i="4" s="1"/>
  <c r="B41" i="4"/>
  <c r="B40" i="4"/>
  <c r="B39" i="4"/>
  <c r="B38" i="4"/>
  <c r="B37" i="4"/>
  <c r="B36" i="4"/>
  <c r="B35" i="4"/>
  <c r="B34" i="4"/>
  <c r="F34" i="4" s="1"/>
  <c r="B33" i="4"/>
  <c r="B32" i="4"/>
  <c r="F46" i="4"/>
  <c r="F38" i="4"/>
  <c r="F32" i="4" l="1"/>
  <c r="F40" i="4"/>
  <c r="F36" i="4"/>
  <c r="F44" i="4"/>
  <c r="F35" i="4"/>
  <c r="F37" i="4"/>
  <c r="F39" i="4"/>
  <c r="F41" i="4"/>
  <c r="F43" i="4"/>
  <c r="F45" i="4"/>
  <c r="F33" i="4"/>
  <c r="Z18" i="4" l="1"/>
  <c r="AA18" i="4" s="1"/>
  <c r="Z17" i="4"/>
  <c r="AA17" i="4" s="1"/>
  <c r="Z16" i="4"/>
  <c r="AA16" i="4" s="1"/>
  <c r="F18" i="4"/>
  <c r="B18" i="4"/>
  <c r="Z15" i="4"/>
  <c r="AA15" i="4" s="1"/>
  <c r="F17" i="4"/>
  <c r="B17" i="4"/>
  <c r="Z14" i="4"/>
  <c r="AA14" i="4" s="1"/>
  <c r="F16" i="4"/>
  <c r="B16" i="4"/>
  <c r="Z13" i="4"/>
  <c r="AA13" i="4" s="1"/>
  <c r="F15" i="4"/>
  <c r="B15" i="4"/>
  <c r="Z12" i="4"/>
  <c r="AA12" i="4" s="1"/>
  <c r="F14" i="4"/>
  <c r="B14" i="4"/>
  <c r="Z11" i="4"/>
  <c r="AA11" i="4" s="1"/>
  <c r="F13" i="4"/>
  <c r="B13" i="4"/>
  <c r="Z10" i="4"/>
  <c r="AA10" i="4" s="1"/>
  <c r="F12" i="4"/>
  <c r="B12" i="4"/>
  <c r="Z9" i="4"/>
  <c r="AA9" i="4" s="1"/>
  <c r="F11" i="4"/>
  <c r="B11" i="4"/>
  <c r="Z8" i="4"/>
  <c r="AA8" i="4" s="1"/>
  <c r="F10" i="4"/>
  <c r="B10" i="4"/>
  <c r="Z7" i="4"/>
  <c r="AA7" i="4" s="1"/>
  <c r="F9" i="4"/>
  <c r="B9" i="4"/>
  <c r="Z6" i="4"/>
  <c r="AA6" i="4" s="1"/>
  <c r="F8" i="4"/>
  <c r="B8" i="4"/>
  <c r="Z5" i="4"/>
  <c r="AA5" i="4" s="1"/>
  <c r="F7" i="4"/>
  <c r="B7" i="4"/>
  <c r="Z4" i="4"/>
  <c r="AA4" i="4" s="1"/>
  <c r="F6" i="4"/>
  <c r="B6" i="4"/>
  <c r="Z3" i="4"/>
  <c r="F5" i="4"/>
  <c r="B5" i="4"/>
  <c r="F4" i="4"/>
  <c r="B4" i="4"/>
  <c r="F3" i="4"/>
  <c r="B3" i="4"/>
  <c r="AA3" i="4" l="1"/>
  <c r="Z32" i="4"/>
  <c r="E44" i="4"/>
  <c r="F19" i="4"/>
  <c r="O5" i="4" s="1"/>
  <c r="G44" i="4" l="1"/>
  <c r="E47" i="4"/>
  <c r="G47" i="4"/>
  <c r="E37" i="4"/>
  <c r="G37" i="4"/>
  <c r="E36" i="4"/>
  <c r="G36" i="4"/>
  <c r="G40" i="4"/>
  <c r="E40" i="4"/>
  <c r="E32" i="4"/>
  <c r="G32" i="4"/>
  <c r="E41" i="4"/>
  <c r="G41" i="4"/>
  <c r="E34" i="4"/>
  <c r="G34" i="4"/>
  <c r="E46" i="4"/>
  <c r="G46" i="4"/>
  <c r="E35" i="4"/>
  <c r="G35" i="4"/>
  <c r="E45" i="4"/>
  <c r="G45" i="4"/>
  <c r="E42" i="4"/>
  <c r="G42" i="4"/>
  <c r="E33" i="4"/>
  <c r="G33" i="4"/>
  <c r="G38" i="4"/>
  <c r="E38" i="4"/>
  <c r="E43" i="4"/>
  <c r="G43" i="4"/>
  <c r="E39" i="4"/>
  <c r="G39" i="4"/>
  <c r="M27" i="2"/>
  <c r="G49" i="4" l="1"/>
  <c r="M2" i="2"/>
  <c r="P3" i="3" s="1"/>
  <c r="N27" i="2"/>
  <c r="N7" i="2" l="1"/>
  <c r="M11" i="2"/>
  <c r="K2" i="2"/>
  <c r="R8" i="2" s="1"/>
  <c r="H42" i="3" l="1"/>
  <c r="J42" i="3"/>
  <c r="K42" i="3" l="1"/>
  <c r="I10" i="3" l="1"/>
  <c r="M12" i="3" l="1"/>
  <c r="M11" i="3"/>
  <c r="N12" i="3" l="1"/>
  <c r="M20" i="3" s="1"/>
  <c r="N11" i="3"/>
  <c r="M16" i="3" s="1"/>
  <c r="S2" i="2"/>
  <c r="V2" i="2" s="1"/>
  <c r="J2" i="2"/>
  <c r="R7" i="2" s="1"/>
  <c r="K6" i="3"/>
  <c r="L25" i="3" s="1"/>
  <c r="T2" i="2" l="1"/>
  <c r="U2" i="2" s="1"/>
  <c r="I2" i="3"/>
  <c r="L16" i="3" s="1"/>
  <c r="N16" i="3" s="1"/>
  <c r="L2" i="2"/>
  <c r="R9" i="2" s="1"/>
  <c r="G10" i="3"/>
  <c r="I2" i="2"/>
  <c r="R6" i="2" s="1"/>
  <c r="H10" i="3" l="1"/>
  <c r="R11" i="2"/>
  <c r="R2" i="2"/>
  <c r="K2" i="3"/>
  <c r="K4" i="3" s="1"/>
  <c r="L20" i="3" s="1"/>
  <c r="N2" i="2"/>
  <c r="I3" i="3" s="1"/>
  <c r="O2" i="2"/>
  <c r="Q2" i="2"/>
  <c r="L37" i="2" s="1"/>
  <c r="W2" i="2"/>
  <c r="N3" i="3" s="1"/>
  <c r="M25" i="3"/>
  <c r="L38" i="2" l="1"/>
  <c r="L33" i="2"/>
  <c r="O6" i="3"/>
  <c r="N29" i="3" s="1"/>
  <c r="L13" i="2"/>
  <c r="L2" i="3"/>
  <c r="L31" i="2" s="1"/>
  <c r="P2" i="2"/>
  <c r="L3" i="3" s="1"/>
  <c r="K5" i="3"/>
  <c r="K7" i="3" s="1"/>
  <c r="X2" i="2"/>
  <c r="N20" i="3"/>
  <c r="N22" i="3" s="1"/>
  <c r="L37" i="3"/>
  <c r="M7" i="3" l="1"/>
  <c r="C25" i="4"/>
  <c r="P2" i="3"/>
  <c r="L39" i="2"/>
  <c r="M3" i="3"/>
  <c r="O3" i="3" s="1"/>
  <c r="L30" i="2"/>
  <c r="L36" i="2"/>
  <c r="M36" i="2" s="1"/>
  <c r="M37" i="2" s="1"/>
  <c r="M38" i="2" s="1"/>
  <c r="Y2" i="2"/>
  <c r="K10" i="3" l="1"/>
  <c r="D25" i="4"/>
  <c r="M39" i="2"/>
  <c r="M2" i="3"/>
  <c r="N31" i="3" s="1"/>
  <c r="M33" i="2"/>
  <c r="L34" i="2" s="1"/>
  <c r="N2" i="3"/>
  <c r="O7" i="3" l="1"/>
  <c r="N25" i="3"/>
  <c r="N27" i="3" s="1"/>
  <c r="O2" i="3"/>
  <c r="M41" i="2" s="1"/>
  <c r="M42" i="2" s="1"/>
  <c r="O5" i="3" l="1"/>
  <c r="N34" i="3" l="1"/>
  <c r="N35" i="3" s="1"/>
  <c r="N36" i="3"/>
  <c r="E25" i="4" s="1"/>
  <c r="K11" i="3" l="1"/>
  <c r="L38" i="3"/>
  <c r="F25" i="4" s="1"/>
</calcChain>
</file>

<file path=xl/sharedStrings.xml><?xml version="1.0" encoding="utf-8"?>
<sst xmlns="http://schemas.openxmlformats.org/spreadsheetml/2006/main" count="286" uniqueCount="250">
  <si>
    <t>C</t>
  </si>
  <si>
    <t>eastern white pine</t>
  </si>
  <si>
    <t>Pinus</t>
  </si>
  <si>
    <t>strobus</t>
  </si>
  <si>
    <t>PIST</t>
  </si>
  <si>
    <t>X</t>
  </si>
  <si>
    <t>S</t>
  </si>
  <si>
    <t>E</t>
  </si>
  <si>
    <t>NIMS_2_1</t>
  </si>
  <si>
    <t>333</t>
  </si>
  <si>
    <t>NIMS_3_0</t>
  </si>
  <si>
    <t>2.4349</t>
  </si>
  <si>
    <t>-2.5356</t>
  </si>
  <si>
    <t>CULL                   (%)</t>
  </si>
  <si>
    <r>
      <t>VOLCFSND            (feet</t>
    </r>
    <r>
      <rPr>
        <b/>
        <vertAlign val="superscript"/>
        <sz val="10"/>
        <rFont val="Arial"/>
        <family val="2"/>
      </rPr>
      <t>3</t>
    </r>
    <r>
      <rPr>
        <b/>
        <sz val="10"/>
        <rFont val="Arial"/>
        <family val="2"/>
      </rPr>
      <t>)</t>
    </r>
  </si>
  <si>
    <t>DRYBIO_BOLE           (lbs)</t>
  </si>
  <si>
    <t>DRYBIO_TOP               (lbs)</t>
  </si>
  <si>
    <t>DRYBIO_STUMP                              (lbs)</t>
  </si>
  <si>
    <t>DRYBIOT               (lbs)</t>
  </si>
  <si>
    <t>FF</t>
  </si>
  <si>
    <t>DBH -outside bark (inch)</t>
  </si>
  <si>
    <r>
      <t>VOLCFGRS - inside bark            (feet</t>
    </r>
    <r>
      <rPr>
        <b/>
        <vertAlign val="superscript"/>
        <sz val="10"/>
        <rFont val="Arial"/>
        <family val="2"/>
      </rPr>
      <t>3</t>
    </r>
    <r>
      <rPr>
        <b/>
        <sz val="10"/>
        <rFont val="Arial"/>
        <family val="2"/>
      </rPr>
      <t>)</t>
    </r>
  </si>
  <si>
    <t>Bark Vol</t>
  </si>
  <si>
    <t>Stump Vol</t>
  </si>
  <si>
    <t>NTS  Trunk Vol</t>
  </si>
  <si>
    <t>DBH-ft</t>
  </si>
  <si>
    <t>Area-ft^2</t>
  </si>
  <si>
    <t>Hgt</t>
  </si>
  <si>
    <t>VOL-ft^3</t>
  </si>
  <si>
    <t>D1</t>
  </si>
  <si>
    <t>R1</t>
  </si>
  <si>
    <t>Vol</t>
  </si>
  <si>
    <t>Bole Vol (incl bark)</t>
  </si>
  <si>
    <t>Bole Mass</t>
  </si>
  <si>
    <t>Stem Density</t>
  </si>
  <si>
    <t>Stem Mass</t>
  </si>
  <si>
    <t>Bark Density</t>
  </si>
  <si>
    <t>Bark Mass</t>
  </si>
  <si>
    <t>Stump Mass</t>
  </si>
  <si>
    <t>Bole &amp; Stump Mass</t>
  </si>
  <si>
    <t>Stem Vol</t>
  </si>
  <si>
    <t xml:space="preserve">   </t>
  </si>
  <si>
    <t>SPCD</t>
  </si>
  <si>
    <t>COMMON_NAME</t>
  </si>
  <si>
    <t>GENUS</t>
  </si>
  <si>
    <t>SPECIES</t>
  </si>
  <si>
    <t>VARIETY</t>
  </si>
  <si>
    <t>SUBSPECIES</t>
  </si>
  <si>
    <t>SPECIES_SYMBOL</t>
  </si>
  <si>
    <t>E_SPGRPCD</t>
  </si>
  <si>
    <t>W_SPGRPCD</t>
  </si>
  <si>
    <t>MAJOR_SPGRPCD</t>
  </si>
  <si>
    <t>STOCKING_SPGRPCD</t>
  </si>
  <si>
    <t>FOREST_TYPE_SPGRPCD</t>
  </si>
  <si>
    <t>EXISTS_IN_NCRS</t>
  </si>
  <si>
    <t>EXISTS_IN_NERS</t>
  </si>
  <si>
    <t>EXISTS_IN_PNWRS</t>
  </si>
  <si>
    <t>EXISTS_IN_RMRS</t>
  </si>
  <si>
    <t>EXISTS_IN_SRS</t>
  </si>
  <si>
    <t>SITETREE</t>
  </si>
  <si>
    <t>SFTWD_HRDWD</t>
  </si>
  <si>
    <t>ST_EXISTS_IN_NCRS</t>
  </si>
  <si>
    <t>ST_EXISTS_IN_NERS</t>
  </si>
  <si>
    <t>ST_EXISTS_IN_PNWRS</t>
  </si>
  <si>
    <t>ST_EXISTS_IN_RMRS</t>
  </si>
  <si>
    <t>ST_EXISTS_IN_SRS</t>
  </si>
  <si>
    <t>EAST</t>
  </si>
  <si>
    <t>WEST</t>
  </si>
  <si>
    <t>WOODLAND</t>
  </si>
  <si>
    <t>MANUAL_START</t>
  </si>
  <si>
    <t>MANUAL_END</t>
  </si>
  <si>
    <t>CREATED_BY</t>
  </si>
  <si>
    <t>CREATED_DATE</t>
  </si>
  <si>
    <t>CREATED_IN_INSTANCE</t>
  </si>
  <si>
    <t>MODIFIED_BY</t>
  </si>
  <si>
    <t>MODIFIED_DATE</t>
  </si>
  <si>
    <t>MODIFIED_IN_INSTANCE</t>
  </si>
  <si>
    <t>CORE</t>
  </si>
  <si>
    <t>JENKINS_SPGRPCD</t>
  </si>
  <si>
    <t>JENKINS_TOTAL_B1</t>
  </si>
  <si>
    <t>JENKINS_TOTAL_B2</t>
  </si>
  <si>
    <t>JENKINS_STEM_WOOD_RATIO_B1</t>
  </si>
  <si>
    <t>JENKINS_STEM_WOOD_RATIO_B2</t>
  </si>
  <si>
    <t>JENKINS_STEM_BARK_RATIO_B1</t>
  </si>
  <si>
    <t>JENKINS_STEM_BARK_RATIO_B2</t>
  </si>
  <si>
    <t>JENKINS_FOLIAGE_RATIO_B1</t>
  </si>
  <si>
    <t>JENKINS_FOLIAGE_RATIO_B2</t>
  </si>
  <si>
    <t>JENKINS_ROOT_RATIO_B1</t>
  </si>
  <si>
    <t>JENKINS_ROOT_RATIO_B2</t>
  </si>
  <si>
    <t>JENKINS_SAPLING_ADJUSTMENT</t>
  </si>
  <si>
    <t>WOOD_SPGR_GREENVOL_DRYWT</t>
  </si>
  <si>
    <t>WOOD_SPGR_GREENVOL_DRYWT_CIT</t>
  </si>
  <si>
    <t>BARK_SPGR_GREENVOL_DRYWT</t>
  </si>
  <si>
    <t>BARK_SPGR_GREENVOL_DRYWT_CIT</t>
  </si>
  <si>
    <t>MC_PCT_GREEN_WOOD</t>
  </si>
  <si>
    <t>MC_PCT_GREEN_WOOD_CIT</t>
  </si>
  <si>
    <t>MC_PCT_GREEN_BARK</t>
  </si>
  <si>
    <t>MC_PCT_GREEN_BARK_CIT</t>
  </si>
  <si>
    <t>WOOD_SPGR_MC12VOL_DRYWT</t>
  </si>
  <si>
    <t>WOOD_SPGR_MC12VOL_DRYWT_CIT</t>
  </si>
  <si>
    <t>BARK_VOL_PCT</t>
  </si>
  <si>
    <t>BARK_VOL_PCT_CIT</t>
  </si>
  <si>
    <t>RAILE_STUMP_DOB_B1</t>
  </si>
  <si>
    <t>RAILE_STUMP_DIB_B1</t>
  </si>
  <si>
    <t>RAILE_STUMP_DIB_B2</t>
  </si>
  <si>
    <t>b (slope)</t>
  </si>
  <si>
    <t>stem_ratio</t>
  </si>
  <si>
    <t>bark_ratio</t>
  </si>
  <si>
    <t>foliage_ratio</t>
  </si>
  <si>
    <t>root_ratio</t>
  </si>
  <si>
    <t>Total_AG_biomass_Jenkins</t>
  </si>
  <si>
    <t>Stem_biomass_Jenkins</t>
  </si>
  <si>
    <t>Bark_biomass_Jenkins</t>
  </si>
  <si>
    <t>Bole_biomass_Jenkins</t>
  </si>
  <si>
    <t>Foliage_biomass_Jenkins</t>
  </si>
  <si>
    <t>Root_biomass_Jenkins</t>
  </si>
  <si>
    <t>Stump_vol_DIB</t>
  </si>
  <si>
    <t>Stump_vol_DOB</t>
  </si>
  <si>
    <t>Stump_Bark_biomass</t>
  </si>
  <si>
    <t>Stump_Wood_biomass</t>
  </si>
  <si>
    <t>Stump_Biomass</t>
  </si>
  <si>
    <t>Top_biomass_Jenkins</t>
  </si>
  <si>
    <t>AdjFac</t>
  </si>
  <si>
    <t>0.005454153*(BioMass!G2^2)*(1+(5.62462*Coeff_1!BJ2)+(8.50038*(Coeff_1!BJ2^2)))</t>
  </si>
  <si>
    <t>Stump Vol -OB</t>
  </si>
  <si>
    <t>Cir at base</t>
  </si>
  <si>
    <t>Radius at base</t>
  </si>
  <si>
    <t>DRYBIOT               (lbs) less foliage</t>
  </si>
  <si>
    <t>Foliage biomass</t>
  </si>
  <si>
    <t>Foliage  Mass</t>
  </si>
  <si>
    <t>Top biomass</t>
  </si>
  <si>
    <t>Top/Tot</t>
  </si>
  <si>
    <t>Top/(bole+stump)</t>
  </si>
  <si>
    <t>Stump Density</t>
  </si>
  <si>
    <t>Height  (feet)</t>
  </si>
  <si>
    <t>Enter data in green cells</t>
  </si>
  <si>
    <t>Wood Specific Gravity</t>
  </si>
  <si>
    <t>Bark Specific Gravity</t>
  </si>
  <si>
    <t>Wood density-lbs/ft^3</t>
  </si>
  <si>
    <t>Bark density-lbs/ft^3</t>
  </si>
  <si>
    <t>NTS Trunk &amp; Top Vol</t>
  </si>
  <si>
    <t>Estimated Stump Vol NTS</t>
  </si>
  <si>
    <t>Tot FIA Trunk Vol -ft^3</t>
  </si>
  <si>
    <t>FIA Components</t>
  </si>
  <si>
    <t>Tot Volume Bole &amp; Stump</t>
  </si>
  <si>
    <t>Tot Vol Bole, Top,Stump</t>
  </si>
  <si>
    <t xml:space="preserve"> (uses mass ratio to project tot vol)</t>
  </si>
  <si>
    <t>top/trunk</t>
  </si>
  <si>
    <t>Foliage ratio = EXP(Coeff_1!AS2+(Coeff_1!AT2/(BioMass!G2*2.54)))</t>
  </si>
  <si>
    <t>Coeff_1!AS2</t>
  </si>
  <si>
    <t>Coeff_1!AT2</t>
  </si>
  <si>
    <t>Foliage Biomass</t>
  </si>
  <si>
    <t>Foliage ratio = EXP(-2.9584+(4.4766/(2.54D)))</t>
  </si>
  <si>
    <t>=(EXP(Coeff_1!AM2+(Coeff_1!AN2*(LN(BioMass!G2*2.54)))))*2.2046</t>
  </si>
  <si>
    <t>Total  Biomass with foliage</t>
  </si>
  <si>
    <t>(J10 is either from direct modeling or a carryover from cell P2)</t>
  </si>
  <si>
    <t>(BioMass!G2)</t>
  </si>
  <si>
    <t>(D = DBH in inches)</t>
  </si>
  <si>
    <t>Coeff_1!AM2</t>
  </si>
  <si>
    <t>BioMass!G2</t>
  </si>
  <si>
    <t>Coeff_1!AN2</t>
  </si>
  <si>
    <t>Bole_Mass (BioMass)</t>
  </si>
  <si>
    <t>Stump_biomass</t>
  </si>
  <si>
    <t>AdJ-Fac</t>
  </si>
  <si>
    <t>BioMass Stump_biomass</t>
  </si>
  <si>
    <t>&lt;=== This is a separate calculation of the total by Jenkins</t>
  </si>
  <si>
    <t>This is a determination of bole biomass taking VOLCFGRS and adding bark vol</t>
  </si>
  <si>
    <t>Jenkins_Bole Biomass</t>
  </si>
  <si>
    <t>Jenkins_Foliage Biomass</t>
  </si>
  <si>
    <t>Jenkins_Stump Biomass</t>
  </si>
  <si>
    <t>Jenkins_Top_biomass</t>
  </si>
  <si>
    <t>Cumulative - Biomass</t>
  </si>
  <si>
    <t>DryBiot - BIOMASS</t>
  </si>
  <si>
    <t>Difference</t>
  </si>
  <si>
    <t>&lt; === this is unresolved</t>
  </si>
  <si>
    <t>Jenkin-Raile Equivalents</t>
  </si>
  <si>
    <t>(L3+M3+N3)</t>
  </si>
  <si>
    <t>Coeff_!M2</t>
  </si>
  <si>
    <t>Stem Ratio</t>
  </si>
  <si>
    <t>Bark Ratio</t>
  </si>
  <si>
    <t>Foliage Ratio</t>
  </si>
  <si>
    <t>Root Ratio</t>
  </si>
  <si>
    <t>Total Ratios</t>
  </si>
  <si>
    <t>Jenkins Ratios</t>
  </si>
  <si>
    <t>Value</t>
  </si>
  <si>
    <t>&lt; === form factor model approximating FIA amount</t>
  </si>
  <si>
    <t>D-in</t>
  </si>
  <si>
    <t>D-ft</t>
  </si>
  <si>
    <t>H-ft</t>
  </si>
  <si>
    <t>FIACOLE</t>
  </si>
  <si>
    <t>f0</t>
  </si>
  <si>
    <t>Formula</t>
  </si>
  <si>
    <t>BioMass Model</t>
  </si>
  <si>
    <t>D - ft</t>
  </si>
  <si>
    <t>H - ft</t>
  </si>
  <si>
    <t>V - ft^3</t>
  </si>
  <si>
    <t>V -ft^3 from BioMass</t>
  </si>
  <si>
    <t>%</t>
  </si>
  <si>
    <t>x</t>
  </si>
  <si>
    <t>y</t>
  </si>
  <si>
    <t>ln(x)</t>
  </si>
  <si>
    <t>ln(y)</t>
  </si>
  <si>
    <t>Limb Factor</t>
  </si>
  <si>
    <t>ln(D)</t>
  </si>
  <si>
    <t>LN(Limb)</t>
  </si>
  <si>
    <t>Predicted</t>
  </si>
  <si>
    <t>Diff</t>
  </si>
  <si>
    <t>Average</t>
  </si>
  <si>
    <t>White Pine</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</si>
  <si>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</si>
  <si>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</si>
  <si>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</si>
  <si>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</si>
  <si>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</si>
  <si>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</si>
  <si>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</si>
  <si>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</si>
  <si>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</si>
  <si>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</si>
  <si>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</si>
  <si>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</si>
  <si>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</si>
  <si>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</si>
  <si>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</si>
  <si>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</si>
  <si>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</si>
  <si>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</si>
  <si>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</si>
  <si>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</si>
  <si>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</si>
  <si>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</si>
  <si>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</si>
  <si>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</si>
  <si>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</si>
  <si>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Trunk</t>
  </si>
  <si>
    <t>Limbs</t>
  </si>
  <si>
    <t>Limb Factor Equation</t>
  </si>
  <si>
    <t>Pct Diff</t>
  </si>
  <si>
    <t>Composite FF</t>
  </si>
  <si>
    <t>a</t>
  </si>
  <si>
    <t>b</t>
  </si>
  <si>
    <t>Temp Holder</t>
  </si>
  <si>
    <t>Trunk-FIA</t>
  </si>
  <si>
    <t>Limb FAC</t>
  </si>
  <si>
    <t>trk&amp;lmbs</t>
  </si>
  <si>
    <t>Calc</t>
  </si>
  <si>
    <t>avg % diff</t>
  </si>
  <si>
    <t>V =0.34094*HD^2</t>
  </si>
  <si>
    <t>&lt;===== Shortcut Amount</t>
  </si>
  <si>
    <t>Pct diff from BioMass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</si>
</sst>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00"/>
    <numFmt numFmtId="165" formatCode="0.0"/>
    <numFmt numFmtId="166" formatCode="m/d/yyyy\ h:mm:ss\ AM/PM"/>
    <numFmt numFmtId="167" formatCode="0.00000"/>
    <numFmt numFmtId="168" formatCode="0.0000"/>
    <numFmt numFmtId="169" formatCode="0.000"/>
    <numFmt numFmtId="170" formatCode="0.000000"/>
    <numFmt numFmtId="171" formatCode="#,##0.00000"/>
    <numFmt numFmtId="172" formatCode="#,##0.0000"/>
  </numFmts>
  <fonts count="30">
    <font>
      <sz val="12"/>
      <color theme="1"/>
      <name val="Calibri"/>
      <family val="2"/>
      <scheme val="minor"/>
    </font>
    <font>
      <sz val="10"/>
      <name val="Arial"/>
      <family val="2"/>
    </font>
    <font>
      <sz val="10"/>
      <color rgb="FFFF0000"/>
      <name val="Arial"/>
      <family val="2"/>
    </font>
    <font>
      <b/>
      <sz val="12"/>
      <color theme="1"/>
      <name val="Calibri"/>
      <family val="2"/>
      <scheme val="minor"/>
    </font>
    <font>
      <sz val="10"/>
      <color rgb="FFFF0000"/>
      <name val="Microsoft Sans Serif"/>
      <family val="2"/>
    </font>
    <font>
      <sz val="10"/>
      <color indexed="8"/>
      <name val="Arial"/>
      <family val="2"/>
    </font>
    <font>
      <sz val="16"/>
      <color rgb="FFFF0000"/>
      <name val="Arial"/>
      <family val="2"/>
    </font>
    <font>
      <b/>
      <sz val="10"/>
      <name val="Arial"/>
      <family val="2"/>
    </font>
    <font>
      <b/>
      <vertAlign val="superscript"/>
      <sz val="10"/>
      <name val="Arial"/>
      <family val="2"/>
    </font>
    <font>
      <b/>
      <sz val="16"/>
      <color theme="1"/>
      <name val="Calibri"/>
      <family val="2"/>
      <scheme val="minor"/>
    </font>
    <font>
      <b/>
      <sz val="10"/>
      <color indexed="8"/>
      <name val="Microsoft Sans Serif"/>
      <family val="2"/>
    </font>
    <font>
      <sz val="14"/>
      <color theme="1"/>
      <name val="Calibri"/>
      <family val="2"/>
      <scheme val="minor"/>
    </font>
    <font>
      <sz val="16"/>
      <color theme="1"/>
      <name val="Microsoft Sans Serif"/>
      <family val="2"/>
    </font>
    <font>
      <sz val="16"/>
      <color theme="1"/>
      <name val="Arial"/>
      <family val="2"/>
    </font>
    <font>
      <b/>
      <sz val="18"/>
      <color theme="1"/>
      <name val="Calibri"/>
      <family val="2"/>
      <scheme val="minor"/>
    </font>
    <font>
      <b/>
      <sz val="14"/>
      <color theme="1"/>
      <name val="Calibri"/>
      <family val="2"/>
      <scheme val="minor"/>
    </font>
    <font>
      <b/>
      <sz val="16"/>
      <color rgb="FFFF0000"/>
      <name val="Calibri"/>
      <family val="2"/>
      <scheme val="minor"/>
    </font>
    <font>
      <sz val="12"/>
      <color rgb="FFFF0000"/>
      <name val="Calibri"/>
      <family val="2"/>
      <scheme val="minor"/>
    </font>
    <font>
      <sz val="16"/>
      <color rgb="FFFF0000"/>
      <name val="Microsoft Sans Serif"/>
      <family val="2"/>
    </font>
    <font>
      <b/>
      <sz val="12"/>
      <color rgb="FF7030A0"/>
      <name val="Calibri"/>
      <family val="2"/>
      <scheme val="minor"/>
    </font>
    <font>
      <b/>
      <sz val="14"/>
      <color rgb="FFFF0000"/>
      <name val="Calibri"/>
      <family val="2"/>
      <scheme val="minor"/>
    </font>
    <font>
      <b/>
      <sz val="20"/>
      <color rgb="FFFF0000"/>
      <name val="Calibri"/>
      <family val="2"/>
      <scheme val="minor"/>
    </font>
    <font>
      <b/>
      <sz val="20"/>
      <color rgb="FF7030A0"/>
      <name val="Calibri"/>
      <family val="2"/>
      <scheme val="minor"/>
    </font>
    <font>
      <b/>
      <sz val="12"/>
      <color indexed="8"/>
      <name val="Microsoft Sans Serif"/>
      <family val="2"/>
    </font>
    <font>
      <sz val="12"/>
      <color rgb="FFFF0000"/>
      <name val="Microsoft Sans Serif"/>
      <family val="2"/>
    </font>
    <font>
      <b/>
      <sz val="10"/>
      <color rgb="FFFF0000"/>
      <name val="Microsoft Sans Serif"/>
      <family val="2"/>
    </font>
    <font>
      <b/>
      <sz val="12"/>
      <color rgb="FFFF0000"/>
      <name val="Calibri"/>
      <family val="2"/>
      <scheme val="minor"/>
    </font>
    <font>
      <b/>
      <sz val="14"/>
      <name val="Arial"/>
      <family val="2"/>
    </font>
    <font>
      <b/>
      <sz val="20"/>
      <color theme="1"/>
      <name val="Calibri"/>
      <family val="2"/>
      <scheme val="minor"/>
    </font>
    <font>
      <i/>
      <sz val="12"/>
      <color theme="1"/>
      <name val="Calibri"/>
      <family val="2"/>
      <scheme val="minor"/>
    </font>
  </fonts>
  <fills count="18">
    <fill>
      <patternFill patternType="none"/>
    </fill>
    <fill>
      <patternFill patternType="gray125"/>
    </fill>
    <fill>
      <patternFill patternType="solid">
        <fgColor indexed="22"/>
        <bgColor indexed="31"/>
      </patternFill>
    </fill>
    <fill>
      <patternFill patternType="solid">
        <fgColor rgb="FFBFBFBF"/>
        <bgColor rgb="FFCCCCFF"/>
      </patternFill>
    </fill>
    <fill>
      <patternFill patternType="solid">
        <fgColor indexed="15"/>
        <bgColor indexed="35"/>
      </patternFill>
    </fill>
    <fill>
      <patternFill patternType="solid">
        <fgColor rgb="FF92D050"/>
        <bgColor indexed="31"/>
      </patternFill>
    </fill>
    <fill>
      <patternFill patternType="solid">
        <fgColor theme="5" tint="0.79998168889431442"/>
        <bgColor indexed="64"/>
      </patternFill>
    </fill>
    <fill>
      <patternFill patternType="solid">
        <fgColor theme="0" tint="-0.249977111117893"/>
        <bgColor indexed="31"/>
      </patternFill>
    </fill>
    <fill>
      <patternFill patternType="solid">
        <fgColor theme="0" tint="-0.249977111117893"/>
        <bgColor indexed="64"/>
      </patternFill>
    </fill>
    <fill>
      <patternFill patternType="solid">
        <fgColor theme="5" tint="0.79998168889431442"/>
        <bgColor indexed="22"/>
      </patternFill>
    </fill>
    <fill>
      <patternFill patternType="solid">
        <fgColor theme="5" tint="0.79998168889431442"/>
        <bgColor indexed="35"/>
      </patternFill>
    </fill>
    <fill>
      <patternFill patternType="solid">
        <fgColor theme="5" tint="0.79998168889431442"/>
        <bgColor indexed="31"/>
      </patternFill>
    </fill>
    <fill>
      <patternFill patternType="solid">
        <fgColor rgb="FF92D05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indexed="35"/>
      </patternFill>
    </fill>
    <fill>
      <patternFill patternType="solid">
        <fgColor theme="7" tint="0.79998168889431442"/>
        <bgColor indexed="31"/>
      </patternFill>
    </fill>
    <fill>
      <patternFill patternType="solid">
        <fgColor theme="9" tint="0.7999816888943144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s>
  <cellStyleXfs count="3">
    <xf numFmtId="0" fontId="0" fillId="0" borderId="0"/>
    <xf numFmtId="0" fontId="1" fillId="0" borderId="0"/>
    <xf numFmtId="0" fontId="5" fillId="0" borderId="0"/>
  </cellStyleXfs>
  <cellXfs count="226">
    <xf numFmtId="0" fontId="0" fillId="0" borderId="0" xfId="0"/>
    <xf numFmtId="164" fontId="2" fillId="2" borderId="0" xfId="1" applyNumberFormat="1" applyFont="1" applyFill="1"/>
    <xf numFmtId="0" fontId="0" fillId="0" borderId="0" xfId="0" applyAlignment="1">
      <alignment horizontal="right"/>
    </xf>
    <xf numFmtId="0" fontId="0" fillId="0" borderId="0" xfId="0" quotePrefix="1"/>
    <xf numFmtId="0" fontId="4" fillId="3" borderId="0" xfId="0" applyFont="1" applyFill="1"/>
    <xf numFmtId="49" fontId="4" fillId="3" borderId="0" xfId="0" applyNumberFormat="1" applyFont="1" applyFill="1"/>
    <xf numFmtId="0" fontId="4" fillId="0" borderId="0" xfId="0" applyFont="1"/>
    <xf numFmtId="49" fontId="4" fillId="0" borderId="0" xfId="0" applyNumberFormat="1" applyFont="1"/>
    <xf numFmtId="165" fontId="4" fillId="0" borderId="0" xfId="0" applyNumberFormat="1" applyFont="1"/>
    <xf numFmtId="166" fontId="4" fillId="0" borderId="0" xfId="0" applyNumberFormat="1" applyFont="1"/>
    <xf numFmtId="167" fontId="4" fillId="0" borderId="0" xfId="0" applyNumberFormat="1" applyFont="1"/>
    <xf numFmtId="0" fontId="4" fillId="2" borderId="0" xfId="2" applyNumberFormat="1" applyFont="1" applyFill="1"/>
    <xf numFmtId="49" fontId="4" fillId="2" borderId="0" xfId="2" applyNumberFormat="1" applyFont="1" applyFill="1"/>
    <xf numFmtId="0" fontId="2" fillId="2" borderId="0" xfId="1" applyFont="1" applyFill="1"/>
    <xf numFmtId="168" fontId="2" fillId="2" borderId="0" xfId="1" applyNumberFormat="1" applyFont="1" applyFill="1"/>
    <xf numFmtId="169" fontId="2" fillId="2" borderId="0" xfId="1" applyNumberFormat="1" applyFont="1" applyFill="1"/>
    <xf numFmtId="169" fontId="2" fillId="0" borderId="0" xfId="1" applyNumberFormat="1" applyFont="1" applyFill="1"/>
    <xf numFmtId="167" fontId="2" fillId="0" borderId="0" xfId="1" applyNumberFormat="1" applyFont="1" applyFill="1"/>
    <xf numFmtId="170" fontId="2" fillId="0" borderId="0" xfId="1" applyNumberFormat="1" applyFont="1" applyFill="1"/>
    <xf numFmtId="168" fontId="2" fillId="0" borderId="0" xfId="1" applyNumberFormat="1" applyFont="1" applyFill="1"/>
    <xf numFmtId="0" fontId="2" fillId="0" borderId="0" xfId="1" applyFont="1" applyFill="1"/>
    <xf numFmtId="0" fontId="6" fillId="0" borderId="0" xfId="1" applyFont="1" applyFill="1"/>
    <xf numFmtId="2" fontId="4" fillId="0" borderId="0" xfId="0" applyNumberFormat="1" applyFont="1"/>
    <xf numFmtId="0" fontId="2" fillId="0" borderId="0" xfId="0" applyFont="1"/>
    <xf numFmtId="0" fontId="5" fillId="0" borderId="0" xfId="2" applyFill="1"/>
    <xf numFmtId="0" fontId="10" fillId="4" borderId="0" xfId="2" applyNumberFormat="1" applyFont="1" applyFill="1"/>
    <xf numFmtId="0" fontId="10" fillId="4" borderId="0" xfId="2" applyNumberFormat="1" applyFont="1" applyFill="1" applyAlignment="1">
      <alignment horizontal="center"/>
    </xf>
    <xf numFmtId="0" fontId="7" fillId="4" borderId="0" xfId="1" applyFont="1" applyFill="1" applyAlignment="1">
      <alignment horizontal="center"/>
    </xf>
    <xf numFmtId="168" fontId="7" fillId="4" borderId="0" xfId="1" applyNumberFormat="1" applyFont="1" applyFill="1" applyAlignment="1">
      <alignment horizontal="center"/>
    </xf>
    <xf numFmtId="169" fontId="7" fillId="4" borderId="0" xfId="1" applyNumberFormat="1" applyFont="1" applyFill="1" applyAlignment="1">
      <alignment horizontal="center"/>
    </xf>
    <xf numFmtId="0" fontId="7" fillId="0" borderId="0" xfId="1" applyFont="1" applyFill="1" applyAlignment="1">
      <alignment horizontal="center"/>
    </xf>
    <xf numFmtId="0" fontId="0" fillId="6" borderId="4" xfId="0" applyFill="1" applyBorder="1"/>
    <xf numFmtId="0" fontId="9" fillId="6" borderId="6" xfId="0" applyFont="1" applyFill="1" applyBorder="1"/>
    <xf numFmtId="0" fontId="0" fillId="6" borderId="7" xfId="0" applyFill="1" applyBorder="1"/>
    <xf numFmtId="0" fontId="9" fillId="6" borderId="8" xfId="0" applyFont="1" applyFill="1" applyBorder="1"/>
    <xf numFmtId="0" fontId="0" fillId="6" borderId="1" xfId="0" applyFill="1" applyBorder="1"/>
    <xf numFmtId="0" fontId="9" fillId="6" borderId="14" xfId="0" applyFont="1" applyFill="1" applyBorder="1"/>
    <xf numFmtId="0" fontId="9" fillId="6" borderId="1" xfId="0" applyFont="1" applyFill="1" applyBorder="1" applyAlignment="1">
      <alignment horizontal="right"/>
    </xf>
    <xf numFmtId="0" fontId="9" fillId="6" borderId="3" xfId="0" applyFont="1" applyFill="1" applyBorder="1" applyAlignment="1">
      <alignment horizontal="right"/>
    </xf>
    <xf numFmtId="0" fontId="11" fillId="6" borderId="14" xfId="0" applyFont="1" applyFill="1" applyBorder="1"/>
    <xf numFmtId="0" fontId="11" fillId="6" borderId="1" xfId="0" applyFont="1" applyFill="1" applyBorder="1"/>
    <xf numFmtId="0" fontId="3" fillId="6" borderId="18" xfId="0" applyFont="1" applyFill="1" applyBorder="1" applyAlignment="1">
      <alignment horizontal="right"/>
    </xf>
    <xf numFmtId="0" fontId="3" fillId="6" borderId="19" xfId="0" applyFont="1" applyFill="1" applyBorder="1" applyAlignment="1">
      <alignment horizontal="right"/>
    </xf>
    <xf numFmtId="0" fontId="3" fillId="6" borderId="20" xfId="0" applyFont="1" applyFill="1" applyBorder="1" applyAlignment="1">
      <alignment horizontal="right"/>
    </xf>
    <xf numFmtId="165" fontId="0" fillId="6" borderId="15" xfId="0" applyNumberFormat="1" applyFill="1" applyBorder="1" applyAlignment="1">
      <alignment horizontal="right"/>
    </xf>
    <xf numFmtId="0" fontId="0" fillId="6" borderId="16" xfId="0" applyFill="1" applyBorder="1" applyAlignment="1">
      <alignment horizontal="right"/>
    </xf>
    <xf numFmtId="0" fontId="0" fillId="6" borderId="17" xfId="0" applyFill="1" applyBorder="1" applyAlignment="1">
      <alignment horizontal="right"/>
    </xf>
    <xf numFmtId="0" fontId="0" fillId="6" borderId="9" xfId="0" applyFill="1" applyBorder="1" applyAlignment="1">
      <alignment horizontal="right"/>
    </xf>
    <xf numFmtId="0" fontId="0" fillId="6" borderId="5" xfId="0" applyFill="1" applyBorder="1" applyAlignment="1">
      <alignment horizontal="right"/>
    </xf>
    <xf numFmtId="0" fontId="0" fillId="6" borderId="10" xfId="0" applyFill="1" applyBorder="1" applyAlignment="1">
      <alignment horizontal="right"/>
    </xf>
    <xf numFmtId="4" fontId="0" fillId="6" borderId="9" xfId="0" applyNumberFormat="1" applyFill="1" applyBorder="1" applyAlignment="1">
      <alignment horizontal="right"/>
    </xf>
    <xf numFmtId="0" fontId="0" fillId="6" borderId="5" xfId="0" quotePrefix="1" applyFill="1" applyBorder="1" applyAlignment="1">
      <alignment horizontal="right"/>
    </xf>
    <xf numFmtId="0" fontId="0" fillId="6" borderId="21" xfId="0" applyFill="1" applyBorder="1" applyAlignment="1">
      <alignment horizontal="right"/>
    </xf>
    <xf numFmtId="0" fontId="0" fillId="6" borderId="22" xfId="0" applyFill="1" applyBorder="1" applyAlignment="1">
      <alignment horizontal="right"/>
    </xf>
    <xf numFmtId="0" fontId="0" fillId="6" borderId="23" xfId="0" applyFill="1" applyBorder="1" applyAlignment="1">
      <alignment horizontal="right"/>
    </xf>
    <xf numFmtId="4" fontId="0" fillId="6" borderId="15" xfId="0" applyNumberFormat="1" applyFill="1" applyBorder="1" applyAlignment="1">
      <alignment horizontal="right"/>
    </xf>
    <xf numFmtId="4" fontId="0" fillId="6" borderId="17" xfId="0" applyNumberFormat="1" applyFill="1" applyBorder="1" applyAlignment="1">
      <alignment horizontal="right"/>
    </xf>
    <xf numFmtId="0" fontId="0" fillId="6" borderId="24" xfId="0" applyFill="1" applyBorder="1" applyAlignment="1">
      <alignment horizontal="right"/>
    </xf>
    <xf numFmtId="0" fontId="0" fillId="6" borderId="25" xfId="0" applyFill="1" applyBorder="1" applyAlignment="1">
      <alignment horizontal="right"/>
    </xf>
    <xf numFmtId="0" fontId="0" fillId="6" borderId="26" xfId="0" applyFill="1" applyBorder="1" applyAlignment="1">
      <alignment horizontal="right"/>
    </xf>
    <xf numFmtId="0" fontId="0" fillId="6" borderId="15" xfId="0" applyFill="1" applyBorder="1" applyAlignment="1">
      <alignment horizontal="right"/>
    </xf>
    <xf numFmtId="0" fontId="3" fillId="6" borderId="2" xfId="0" applyFont="1" applyFill="1" applyBorder="1"/>
    <xf numFmtId="0" fontId="0" fillId="6" borderId="3" xfId="0" applyFill="1" applyBorder="1"/>
    <xf numFmtId="0" fontId="9" fillId="6" borderId="2" xfId="0" applyFont="1" applyFill="1" applyBorder="1" applyAlignment="1">
      <alignment horizontal="right"/>
    </xf>
    <xf numFmtId="0" fontId="3" fillId="6" borderId="4" xfId="0" applyFont="1" applyFill="1" applyBorder="1"/>
    <xf numFmtId="0" fontId="3" fillId="6" borderId="3" xfId="0" applyFont="1" applyFill="1" applyBorder="1"/>
    <xf numFmtId="4" fontId="3" fillId="6" borderId="20" xfId="0" applyNumberFormat="1" applyFont="1" applyFill="1" applyBorder="1" applyAlignment="1">
      <alignment horizontal="right"/>
    </xf>
    <xf numFmtId="4" fontId="0" fillId="6" borderId="20" xfId="0" applyNumberFormat="1" applyFont="1" applyFill="1" applyBorder="1" applyAlignment="1">
      <alignment horizontal="right"/>
    </xf>
    <xf numFmtId="4" fontId="7" fillId="4" borderId="1" xfId="1" applyNumberFormat="1" applyFont="1" applyFill="1" applyBorder="1" applyAlignment="1">
      <alignment horizontal="center" vertical="center" wrapText="1"/>
    </xf>
    <xf numFmtId="4" fontId="3" fillId="6" borderId="10" xfId="0" applyNumberFormat="1" applyFont="1" applyFill="1" applyBorder="1" applyAlignment="1">
      <alignment horizontal="right"/>
    </xf>
    <xf numFmtId="0" fontId="3" fillId="6" borderId="9" xfId="0" applyFont="1" applyFill="1" applyBorder="1" applyAlignment="1">
      <alignment horizontal="right"/>
    </xf>
    <xf numFmtId="0" fontId="3" fillId="6" borderId="11" xfId="0" applyFont="1" applyFill="1" applyBorder="1" applyAlignment="1">
      <alignment horizontal="right"/>
    </xf>
    <xf numFmtId="0" fontId="3" fillId="6" borderId="12" xfId="0" applyFont="1" applyFill="1" applyBorder="1" applyAlignment="1">
      <alignment horizontal="right"/>
    </xf>
    <xf numFmtId="4" fontId="3" fillId="6" borderId="13" xfId="0" applyNumberFormat="1" applyFont="1" applyFill="1" applyBorder="1" applyAlignment="1">
      <alignment horizontal="right"/>
    </xf>
    <xf numFmtId="0" fontId="3" fillId="6" borderId="4" xfId="0" applyFont="1" applyFill="1" applyBorder="1" applyAlignment="1">
      <alignment horizontal="right"/>
    </xf>
    <xf numFmtId="0" fontId="3" fillId="6" borderId="1" xfId="0" applyFont="1" applyFill="1" applyBorder="1" applyAlignment="1">
      <alignment horizontal="right"/>
    </xf>
    <xf numFmtId="172" fontId="3" fillId="6" borderId="1" xfId="0" applyNumberFormat="1" applyFont="1" applyFill="1" applyBorder="1" applyAlignment="1">
      <alignment horizontal="right"/>
    </xf>
    <xf numFmtId="0" fontId="3" fillId="6" borderId="1" xfId="0" applyFont="1" applyFill="1" applyBorder="1"/>
    <xf numFmtId="0" fontId="12" fillId="11" borderId="2" xfId="2" applyNumberFormat="1" applyFont="1" applyFill="1" applyBorder="1"/>
    <xf numFmtId="49" fontId="12" fillId="11" borderId="4" xfId="2" applyNumberFormat="1" applyFont="1" applyFill="1" applyBorder="1"/>
    <xf numFmtId="49" fontId="12" fillId="11" borderId="3" xfId="2" applyNumberFormat="1" applyFont="1" applyFill="1" applyBorder="1"/>
    <xf numFmtId="165" fontId="13" fillId="5" borderId="6" xfId="1" applyNumberFormat="1" applyFont="1" applyFill="1" applyBorder="1" applyProtection="1">
      <protection locked="0"/>
    </xf>
    <xf numFmtId="0" fontId="14" fillId="0" borderId="0" xfId="0" applyFont="1"/>
    <xf numFmtId="0" fontId="9" fillId="6" borderId="1" xfId="0" applyFont="1" applyFill="1" applyBorder="1"/>
    <xf numFmtId="0" fontId="15" fillId="6" borderId="1" xfId="0" applyFont="1" applyFill="1" applyBorder="1"/>
    <xf numFmtId="0" fontId="15" fillId="6" borderId="14" xfId="0" applyFont="1" applyFill="1" applyBorder="1"/>
    <xf numFmtId="0" fontId="3" fillId="12" borderId="27" xfId="0" applyFont="1" applyFill="1" applyBorder="1" applyProtection="1">
      <protection locked="0"/>
    </xf>
    <xf numFmtId="0" fontId="3" fillId="6" borderId="28" xfId="0" applyFont="1" applyFill="1" applyBorder="1"/>
    <xf numFmtId="0" fontId="3" fillId="12" borderId="28" xfId="0" applyFont="1" applyFill="1" applyBorder="1" applyProtection="1">
      <protection locked="0"/>
    </xf>
    <xf numFmtId="0" fontId="3" fillId="6" borderId="29" xfId="0" applyFont="1" applyFill="1" applyBorder="1"/>
    <xf numFmtId="0" fontId="16" fillId="6" borderId="8" xfId="0" applyFont="1" applyFill="1" applyBorder="1"/>
    <xf numFmtId="4" fontId="13" fillId="2" borderId="1" xfId="1" applyNumberFormat="1" applyFont="1" applyFill="1" applyBorder="1"/>
    <xf numFmtId="0" fontId="0" fillId="6" borderId="2" xfId="0" applyFill="1" applyBorder="1"/>
    <xf numFmtId="49" fontId="18" fillId="7" borderId="2" xfId="2" applyNumberFormat="1" applyFont="1" applyFill="1" applyBorder="1"/>
    <xf numFmtId="0" fontId="17" fillId="8" borderId="3" xfId="0" applyFont="1" applyFill="1" applyBorder="1"/>
    <xf numFmtId="4" fontId="6" fillId="7" borderId="1" xfId="1" applyNumberFormat="1" applyFont="1" applyFill="1" applyBorder="1"/>
    <xf numFmtId="0" fontId="19" fillId="6" borderId="2" xfId="0" applyFont="1" applyFill="1" applyBorder="1"/>
    <xf numFmtId="0" fontId="20" fillId="6" borderId="1" xfId="0" applyFont="1" applyFill="1" applyBorder="1"/>
    <xf numFmtId="2" fontId="21" fillId="6" borderId="3" xfId="0" applyNumberFormat="1" applyFont="1" applyFill="1" applyBorder="1"/>
    <xf numFmtId="2" fontId="22" fillId="6" borderId="1" xfId="0" applyNumberFormat="1" applyFont="1" applyFill="1" applyBorder="1"/>
    <xf numFmtId="168" fontId="2" fillId="2" borderId="0" xfId="1" quotePrefix="1" applyNumberFormat="1" applyFont="1" applyFill="1"/>
    <xf numFmtId="169" fontId="0" fillId="0" borderId="0" xfId="0" applyNumberFormat="1"/>
    <xf numFmtId="171" fontId="9" fillId="12" borderId="14" xfId="0" applyNumberFormat="1" applyFont="1" applyFill="1" applyBorder="1" applyProtection="1">
      <protection locked="0"/>
    </xf>
    <xf numFmtId="169" fontId="2" fillId="2" borderId="0" xfId="1" quotePrefix="1" applyNumberFormat="1" applyFont="1" applyFill="1"/>
    <xf numFmtId="0" fontId="15" fillId="6" borderId="2" xfId="0" applyFont="1" applyFill="1" applyBorder="1"/>
    <xf numFmtId="0" fontId="23" fillId="10" borderId="30" xfId="2" applyNumberFormat="1" applyFont="1" applyFill="1" applyBorder="1"/>
    <xf numFmtId="167" fontId="24" fillId="6" borderId="32" xfId="0" applyNumberFormat="1" applyFont="1" applyFill="1" applyBorder="1"/>
    <xf numFmtId="0" fontId="23" fillId="10" borderId="6" xfId="2" applyNumberFormat="1" applyFont="1" applyFill="1" applyBorder="1"/>
    <xf numFmtId="167" fontId="24" fillId="6" borderId="8" xfId="0" applyNumberFormat="1" applyFont="1" applyFill="1" applyBorder="1"/>
    <xf numFmtId="0" fontId="3" fillId="6" borderId="31" xfId="0" applyFont="1" applyFill="1" applyBorder="1"/>
    <xf numFmtId="0" fontId="3" fillId="6" borderId="7" xfId="0" applyFont="1" applyFill="1" applyBorder="1"/>
    <xf numFmtId="169" fontId="7" fillId="9" borderId="6" xfId="1" applyNumberFormat="1" applyFont="1" applyFill="1" applyBorder="1" applyAlignment="1">
      <alignment horizontal="center" vertical="center" wrapText="1"/>
    </xf>
    <xf numFmtId="169" fontId="3" fillId="6" borderId="3" xfId="0" applyNumberFormat="1" applyFont="1" applyFill="1" applyBorder="1"/>
    <xf numFmtId="0" fontId="3" fillId="6" borderId="2" xfId="0" quotePrefix="1" applyFont="1" applyFill="1" applyBorder="1"/>
    <xf numFmtId="169" fontId="7" fillId="10" borderId="1" xfId="1" applyNumberFormat="1" applyFont="1" applyFill="1" applyBorder="1" applyAlignment="1">
      <alignment horizontal="center"/>
    </xf>
    <xf numFmtId="0" fontId="3" fillId="6" borderId="33" xfId="0" applyFont="1" applyFill="1" applyBorder="1"/>
    <xf numFmtId="49" fontId="25" fillId="6" borderId="1" xfId="0" applyNumberFormat="1" applyFont="1" applyFill="1" applyBorder="1"/>
    <xf numFmtId="165" fontId="13" fillId="11" borderId="14" xfId="1" applyNumberFormat="1" applyFont="1" applyFill="1" applyBorder="1" applyProtection="1">
      <protection locked="0"/>
    </xf>
    <xf numFmtId="4" fontId="3" fillId="6" borderId="3" xfId="0" applyNumberFormat="1" applyFont="1" applyFill="1" applyBorder="1"/>
    <xf numFmtId="168" fontId="3" fillId="6" borderId="1" xfId="0" applyNumberFormat="1" applyFont="1" applyFill="1" applyBorder="1"/>
    <xf numFmtId="0" fontId="3" fillId="14" borderId="2" xfId="0" applyFont="1" applyFill="1" applyBorder="1"/>
    <xf numFmtId="0" fontId="3" fillId="6" borderId="14" xfId="0" applyFont="1" applyFill="1" applyBorder="1"/>
    <xf numFmtId="0" fontId="0" fillId="14" borderId="4" xfId="0" applyFill="1" applyBorder="1"/>
    <xf numFmtId="0" fontId="0" fillId="14" borderId="3" xfId="0" applyFill="1" applyBorder="1"/>
    <xf numFmtId="0" fontId="3" fillId="14" borderId="1" xfId="0" applyFont="1" applyFill="1" applyBorder="1"/>
    <xf numFmtId="169" fontId="3" fillId="14" borderId="3" xfId="0" applyNumberFormat="1" applyFont="1" applyFill="1" applyBorder="1"/>
    <xf numFmtId="0" fontId="26" fillId="14" borderId="1" xfId="0" applyFont="1" applyFill="1" applyBorder="1"/>
    <xf numFmtId="0" fontId="17" fillId="0" borderId="0" xfId="0" applyFont="1"/>
    <xf numFmtId="169" fontId="3" fillId="6" borderId="1" xfId="0" applyNumberFormat="1" applyFont="1" applyFill="1" applyBorder="1" applyAlignment="1">
      <alignment horizontal="right"/>
    </xf>
    <xf numFmtId="169" fontId="3" fillId="6" borderId="1" xfId="0" applyNumberFormat="1" applyFont="1" applyFill="1" applyBorder="1"/>
    <xf numFmtId="169" fontId="26" fillId="6" borderId="1" xfId="0" applyNumberFormat="1" applyFont="1" applyFill="1" applyBorder="1"/>
    <xf numFmtId="0" fontId="0" fillId="6" borderId="0" xfId="0" applyFill="1"/>
    <xf numFmtId="4" fontId="13" fillId="11" borderId="1" xfId="1" applyNumberFormat="1" applyFont="1" applyFill="1" applyBorder="1"/>
    <xf numFmtId="4" fontId="27" fillId="10" borderId="1" xfId="1" applyNumberFormat="1" applyFont="1" applyFill="1" applyBorder="1" applyAlignment="1">
      <alignment horizontal="center" vertical="center" wrapText="1"/>
    </xf>
    <xf numFmtId="0" fontId="15" fillId="13" borderId="1" xfId="0" applyFont="1" applyFill="1" applyBorder="1"/>
    <xf numFmtId="168" fontId="3" fillId="6" borderId="32" xfId="0" applyNumberFormat="1" applyFont="1" applyFill="1" applyBorder="1"/>
    <xf numFmtId="0" fontId="3" fillId="6" borderId="35" xfId="0" applyFont="1" applyFill="1" applyBorder="1"/>
    <xf numFmtId="168" fontId="3" fillId="6" borderId="34" xfId="0" applyNumberFormat="1" applyFont="1" applyFill="1" applyBorder="1"/>
    <xf numFmtId="0" fontId="3" fillId="6" borderId="8" xfId="0" applyFont="1" applyFill="1" applyBorder="1"/>
    <xf numFmtId="0" fontId="3" fillId="6" borderId="3" xfId="0" applyFont="1" applyFill="1" applyBorder="1" applyAlignment="1">
      <alignment horizontal="right"/>
    </xf>
    <xf numFmtId="0" fontId="13" fillId="11" borderId="1" xfId="1" applyFont="1" applyFill="1" applyBorder="1"/>
    <xf numFmtId="169" fontId="7" fillId="9" borderId="1" xfId="1" applyNumberFormat="1" applyFont="1" applyFill="1" applyBorder="1" applyAlignment="1">
      <alignment horizontal="center" vertical="center" wrapText="1"/>
    </xf>
    <xf numFmtId="165" fontId="13" fillId="11" borderId="3" xfId="1" applyNumberFormat="1" applyFont="1" applyFill="1" applyBorder="1"/>
    <xf numFmtId="0" fontId="7" fillId="9" borderId="1" xfId="1" applyFont="1" applyFill="1" applyBorder="1" applyAlignment="1">
      <alignment horizontal="center" vertical="center" wrapText="1"/>
    </xf>
    <xf numFmtId="4" fontId="7" fillId="9" borderId="1" xfId="1" applyNumberFormat="1" applyFont="1" applyFill="1" applyBorder="1" applyAlignment="1">
      <alignment horizontal="center" vertical="center" wrapText="1"/>
    </xf>
    <xf numFmtId="4" fontId="7" fillId="10" borderId="1" xfId="1" applyNumberFormat="1" applyFont="1" applyFill="1" applyBorder="1" applyAlignment="1">
      <alignment horizontal="center" vertical="center" wrapText="1"/>
    </xf>
    <xf numFmtId="4" fontId="13" fillId="11" borderId="3" xfId="1" applyNumberFormat="1" applyFont="1" applyFill="1" applyBorder="1"/>
    <xf numFmtId="4" fontId="13" fillId="11" borderId="14" xfId="1" applyNumberFormat="1" applyFont="1" applyFill="1" applyBorder="1"/>
    <xf numFmtId="4" fontId="7" fillId="15" borderId="3" xfId="1" applyNumberFormat="1" applyFont="1" applyFill="1" applyBorder="1" applyAlignment="1">
      <alignment horizontal="center" vertical="center" wrapText="1"/>
    </xf>
    <xf numFmtId="171" fontId="13" fillId="16" borderId="8" xfId="1" quotePrefix="1" applyNumberFormat="1" applyFont="1" applyFill="1" applyBorder="1"/>
    <xf numFmtId="2" fontId="13" fillId="5" borderId="14" xfId="1" applyNumberFormat="1" applyFont="1" applyFill="1" applyBorder="1" applyProtection="1">
      <protection locked="0"/>
    </xf>
    <xf numFmtId="167" fontId="13" fillId="5" borderId="14" xfId="1" applyNumberFormat="1" applyFont="1" applyFill="1" applyBorder="1" applyProtection="1">
      <protection locked="0"/>
    </xf>
    <xf numFmtId="4" fontId="6" fillId="7" borderId="1" xfId="1" applyNumberFormat="1" applyFont="1" applyFill="1" applyBorder="1" applyAlignment="1">
      <alignment horizontal="right"/>
    </xf>
    <xf numFmtId="10" fontId="6" fillId="7" borderId="1" xfId="1" applyNumberFormat="1" applyFont="1" applyFill="1" applyBorder="1"/>
    <xf numFmtId="0" fontId="0" fillId="6" borderId="5" xfId="0" applyFill="1" applyBorder="1"/>
    <xf numFmtId="0" fontId="28" fillId="0" borderId="0" xfId="0" applyFont="1"/>
    <xf numFmtId="165" fontId="0" fillId="17" borderId="36" xfId="0" applyNumberFormat="1" applyFill="1" applyBorder="1" applyProtection="1">
      <protection locked="0"/>
    </xf>
    <xf numFmtId="165" fontId="0" fillId="17" borderId="37" xfId="0" applyNumberFormat="1" applyFill="1" applyBorder="1" applyProtection="1">
      <protection locked="0"/>
    </xf>
    <xf numFmtId="0" fontId="0" fillId="17" borderId="37" xfId="0" applyFill="1" applyBorder="1" applyProtection="1">
      <protection locked="0"/>
    </xf>
    <xf numFmtId="0" fontId="0" fillId="6" borderId="38" xfId="0" applyFill="1" applyBorder="1"/>
    <xf numFmtId="10" fontId="0" fillId="6" borderId="39" xfId="0" applyNumberFormat="1" applyFill="1" applyBorder="1"/>
    <xf numFmtId="165" fontId="0" fillId="17" borderId="9" xfId="0" applyNumberFormat="1" applyFill="1" applyBorder="1" applyProtection="1">
      <protection locked="0"/>
    </xf>
    <xf numFmtId="165" fontId="0" fillId="17" borderId="40" xfId="0" applyNumberFormat="1" applyFill="1" applyBorder="1" applyProtection="1">
      <protection locked="0"/>
    </xf>
    <xf numFmtId="0" fontId="0" fillId="6" borderId="41" xfId="0" applyFill="1" applyBorder="1"/>
    <xf numFmtId="0" fontId="0" fillId="17" borderId="40" xfId="0" applyFill="1" applyBorder="1" applyProtection="1">
      <protection locked="0"/>
    </xf>
    <xf numFmtId="0" fontId="0" fillId="6" borderId="42" xfId="0" applyFill="1" applyBorder="1"/>
    <xf numFmtId="10" fontId="0" fillId="6" borderId="17" xfId="0" applyNumberFormat="1" applyFill="1" applyBorder="1"/>
    <xf numFmtId="165" fontId="0" fillId="17" borderId="11" xfId="0" applyNumberFormat="1" applyFill="1" applyBorder="1" applyProtection="1">
      <protection locked="0"/>
    </xf>
    <xf numFmtId="165" fontId="0" fillId="17" borderId="43" xfId="0" applyNumberFormat="1" applyFill="1" applyBorder="1" applyProtection="1">
      <protection locked="0"/>
    </xf>
    <xf numFmtId="0" fontId="0" fillId="6" borderId="44" xfId="0" applyFill="1" applyBorder="1"/>
    <xf numFmtId="0" fontId="0" fillId="17" borderId="43" xfId="0" applyFill="1" applyBorder="1" applyProtection="1">
      <protection locked="0"/>
    </xf>
    <xf numFmtId="0" fontId="0" fillId="6" borderId="45" xfId="0" applyFill="1" applyBorder="1"/>
    <xf numFmtId="10" fontId="0" fillId="6" borderId="29" xfId="0" applyNumberFormat="1" applyFill="1" applyBorder="1"/>
    <xf numFmtId="10" fontId="3" fillId="6" borderId="1" xfId="0" applyNumberFormat="1" applyFont="1" applyFill="1" applyBorder="1"/>
    <xf numFmtId="0" fontId="3" fillId="6" borderId="46" xfId="0" applyFont="1" applyFill="1" applyBorder="1" applyAlignment="1">
      <alignment horizontal="right"/>
    </xf>
    <xf numFmtId="0" fontId="0" fillId="6" borderId="46" xfId="0" applyFill="1" applyBorder="1"/>
    <xf numFmtId="0" fontId="0" fillId="6" borderId="39" xfId="0" applyFill="1" applyBorder="1"/>
    <xf numFmtId="0" fontId="3" fillId="6" borderId="5" xfId="0" applyFont="1" applyFill="1" applyBorder="1" applyAlignment="1">
      <alignment horizontal="right"/>
    </xf>
    <xf numFmtId="0" fontId="3" fillId="6" borderId="10" xfId="0" applyFont="1" applyFill="1" applyBorder="1" applyAlignment="1">
      <alignment horizontal="right"/>
    </xf>
    <xf numFmtId="0" fontId="0" fillId="6" borderId="9" xfId="0" applyFill="1" applyBorder="1"/>
    <xf numFmtId="10" fontId="0" fillId="6" borderId="10" xfId="0" applyNumberFormat="1" applyFill="1" applyBorder="1" applyAlignment="1">
      <alignment horizontal="right"/>
    </xf>
    <xf numFmtId="0" fontId="0" fillId="6" borderId="11" xfId="0" applyFill="1" applyBorder="1"/>
    <xf numFmtId="0" fontId="0" fillId="6" borderId="12" xfId="0" applyFill="1" applyBorder="1"/>
    <xf numFmtId="10" fontId="0" fillId="6" borderId="13" xfId="0" applyNumberFormat="1" applyFill="1" applyBorder="1" applyAlignment="1">
      <alignment horizontal="right"/>
    </xf>
    <xf numFmtId="0" fontId="3" fillId="6" borderId="18" xfId="0" applyFont="1" applyFill="1" applyBorder="1"/>
    <xf numFmtId="10" fontId="3" fillId="6" borderId="20" xfId="0" applyNumberFormat="1" applyFont="1" applyFill="1" applyBorder="1"/>
    <xf numFmtId="0" fontId="0" fillId="0" borderId="0" xfId="0" applyFill="1" applyBorder="1" applyAlignment="1"/>
    <xf numFmtId="0" fontId="0" fillId="0" borderId="7" xfId="0" applyFill="1" applyBorder="1" applyAlignment="1"/>
    <xf numFmtId="0" fontId="29" fillId="0" borderId="47" xfId="0" applyFont="1" applyFill="1" applyBorder="1" applyAlignment="1">
      <alignment horizontal="center"/>
    </xf>
    <xf numFmtId="0" fontId="29" fillId="0" borderId="47" xfId="0" applyFont="1" applyFill="1" applyBorder="1" applyAlignment="1">
      <alignment horizontal="centerContinuous"/>
    </xf>
    <xf numFmtId="0" fontId="3" fillId="6" borderId="48" xfId="0" applyFont="1" applyFill="1" applyBorder="1" applyAlignment="1">
      <alignment horizontal="right"/>
    </xf>
    <xf numFmtId="168" fontId="0" fillId="6" borderId="48" xfId="0" applyNumberFormat="1" applyFill="1" applyBorder="1"/>
    <xf numFmtId="0" fontId="3" fillId="6" borderId="49" xfId="0" applyFont="1" applyFill="1" applyBorder="1" applyAlignment="1">
      <alignment horizontal="right"/>
    </xf>
    <xf numFmtId="0" fontId="0" fillId="6" borderId="36" xfId="0" applyFill="1" applyBorder="1"/>
    <xf numFmtId="168" fontId="0" fillId="6" borderId="50" xfId="0" applyNumberFormat="1" applyFill="1" applyBorder="1"/>
    <xf numFmtId="0" fontId="15" fillId="6" borderId="4" xfId="0" applyFont="1" applyFill="1" applyBorder="1"/>
    <xf numFmtId="0" fontId="15" fillId="6" borderId="3" xfId="0" applyFont="1" applyFill="1" applyBorder="1"/>
    <xf numFmtId="0" fontId="3" fillId="6" borderId="51" xfId="0" applyFont="1" applyFill="1" applyBorder="1" applyAlignment="1">
      <alignment horizontal="right"/>
    </xf>
    <xf numFmtId="0" fontId="3" fillId="6" borderId="52" xfId="0" applyFont="1" applyFill="1" applyBorder="1" applyAlignment="1">
      <alignment horizontal="right"/>
    </xf>
    <xf numFmtId="0" fontId="0" fillId="6" borderId="17" xfId="0" applyFill="1" applyBorder="1"/>
    <xf numFmtId="0" fontId="0" fillId="6" borderId="10" xfId="0" applyFill="1" applyBorder="1"/>
    <xf numFmtId="0" fontId="0" fillId="6" borderId="13" xfId="0" applyFill="1" applyBorder="1"/>
    <xf numFmtId="0" fontId="3" fillId="6" borderId="2" xfId="0" applyFont="1" applyFill="1" applyBorder="1" applyAlignment="1">
      <alignment horizontal="right"/>
    </xf>
    <xf numFmtId="0" fontId="0" fillId="17" borderId="36" xfId="0" applyFill="1" applyBorder="1" applyProtection="1">
      <protection locked="0"/>
    </xf>
    <xf numFmtId="0" fontId="0" fillId="17" borderId="9" xfId="0" applyFill="1" applyBorder="1" applyProtection="1">
      <protection locked="0"/>
    </xf>
    <xf numFmtId="0" fontId="0" fillId="17" borderId="11" xfId="0" applyFill="1" applyBorder="1" applyProtection="1">
      <protection locked="0"/>
    </xf>
    <xf numFmtId="0" fontId="0" fillId="17" borderId="46" xfId="0" applyFill="1" applyBorder="1" applyProtection="1">
      <protection locked="0"/>
    </xf>
    <xf numFmtId="0" fontId="0" fillId="17" borderId="5" xfId="0" applyFill="1" applyBorder="1" applyProtection="1">
      <protection locked="0"/>
    </xf>
    <xf numFmtId="0" fontId="0" fillId="17" borderId="12" xfId="0" applyFill="1" applyBorder="1" applyProtection="1">
      <protection locked="0"/>
    </xf>
    <xf numFmtId="0" fontId="9" fillId="6" borderId="5" xfId="0" applyFont="1" applyFill="1" applyBorder="1"/>
    <xf numFmtId="0" fontId="9" fillId="6" borderId="16" xfId="0" applyFont="1" applyFill="1" applyBorder="1"/>
    <xf numFmtId="0" fontId="9" fillId="6" borderId="40" xfId="0" applyFont="1" applyFill="1" applyBorder="1"/>
    <xf numFmtId="0" fontId="9" fillId="6" borderId="48" xfId="0" applyFont="1" applyFill="1" applyBorder="1"/>
    <xf numFmtId="0" fontId="0" fillId="17" borderId="18" xfId="0" applyFill="1" applyBorder="1" applyProtection="1">
      <protection locked="0"/>
    </xf>
    <xf numFmtId="4" fontId="0" fillId="6" borderId="1" xfId="0" applyNumberFormat="1" applyFill="1" applyBorder="1"/>
    <xf numFmtId="171" fontId="0" fillId="6" borderId="1" xfId="0" applyNumberFormat="1" applyFill="1" applyBorder="1"/>
    <xf numFmtId="2" fontId="0" fillId="17" borderId="1" xfId="0" applyNumberFormat="1" applyFill="1" applyBorder="1" applyProtection="1">
      <protection locked="0"/>
    </xf>
    <xf numFmtId="0" fontId="0" fillId="17" borderId="39" xfId="0" applyFill="1" applyBorder="1"/>
    <xf numFmtId="0" fontId="0" fillId="17" borderId="10" xfId="0" applyFill="1" applyBorder="1"/>
    <xf numFmtId="0" fontId="0" fillId="17" borderId="13" xfId="0" applyFill="1" applyBorder="1"/>
    <xf numFmtId="0" fontId="3" fillId="6" borderId="5" xfId="0" applyFont="1" applyFill="1" applyBorder="1"/>
    <xf numFmtId="10" fontId="3" fillId="6" borderId="5" xfId="0" applyNumberFormat="1" applyFont="1" applyFill="1" applyBorder="1"/>
    <xf numFmtId="0" fontId="0" fillId="6" borderId="22" xfId="0" applyFill="1" applyBorder="1"/>
    <xf numFmtId="0" fontId="3" fillId="0" borderId="0" xfId="0" applyFont="1"/>
    <xf numFmtId="2" fontId="9" fillId="6" borderId="1" xfId="0" applyNumberFormat="1" applyFont="1" applyFill="1" applyBorder="1"/>
    <xf numFmtId="0" fontId="15" fillId="6" borderId="8" xfId="0" applyFont="1" applyFill="1" applyBorder="1"/>
  </cellXfs>
  <cellStyles count="3">
    <cellStyle name="Excel Built-in Normal" xfId="1" xr:uid="{F4389A6C-0B5E-DE4A-B661-A8A335A0C143}"/>
    <cellStyle name="Excel Built-in Normal 1" xfId="2" xr:uid="{A1519BC1-6953-E243-96EB-D541E821E9B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88900</xdr:colOff>
      <xdr:row>12</xdr:row>
      <xdr:rowOff>88900</xdr:rowOff>
    </xdr:from>
    <xdr:to>
      <xdr:col>10</xdr:col>
      <xdr:colOff>863600</xdr:colOff>
      <xdr:row>35</xdr:row>
      <xdr:rowOff>114300</xdr:rowOff>
    </xdr:to>
    <xdr:sp macro="" textlink="">
      <xdr:nvSpPr>
        <xdr:cNvPr id="2" name="TextBox 1">
          <a:extLst>
            <a:ext uri="{FF2B5EF4-FFF2-40B4-BE49-F238E27FC236}">
              <a16:creationId xmlns:a16="http://schemas.microsoft.com/office/drawing/2014/main" id="{908D8901-4D0E-2145-9E36-FFA3C9ACA4CD}"/>
            </a:ext>
          </a:extLst>
        </xdr:cNvPr>
        <xdr:cNvSpPr txBox="1"/>
      </xdr:nvSpPr>
      <xdr:spPr>
        <a:xfrm>
          <a:off x="88900" y="3581400"/>
          <a:ext cx="8737600" cy="488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VOLCFGRS</a:t>
          </a:r>
          <a:r>
            <a:rPr lang="en-US" sz="1600" baseline="0"/>
            <a:t> = stem vol (inside bark, i.e. wood only) (VOLCFGRS stands for gross cubic foot volume)</a:t>
          </a:r>
          <a:endParaRPr lang="en-US" sz="1600"/>
        </a:p>
        <a:p>
          <a:r>
            <a:rPr lang="en-US" sz="1600"/>
            <a:t>Bark</a:t>
          </a:r>
          <a:r>
            <a:rPr lang="en-US" sz="1600" baseline="0"/>
            <a:t> Vol/stem Vol = 0.16 for white pine. See cell Coeff_1!BH2.</a:t>
          </a:r>
        </a:p>
        <a:p>
          <a:endParaRPr lang="en-US" sz="1600" baseline="0"/>
        </a:p>
        <a:p>
          <a:r>
            <a:rPr lang="en-US" sz="1600" baseline="0"/>
            <a:t>Bole Vol = Stem Vol + Bark Vol (This is a fairly standard forestry definition)</a:t>
          </a:r>
        </a:p>
        <a:p>
          <a:endParaRPr lang="en-US" sz="1600" baseline="0"/>
        </a:p>
        <a:p>
          <a:r>
            <a:rPr lang="en-US" sz="1600" baseline="0"/>
            <a:t>Stump Vol:                  Stump_vol_DOB = ( 0.005454153 × DBH2 × (  1 + (5.62462 × C ) + (8.50038 × C2) ) </a:t>
          </a:r>
        </a:p>
        <a:p>
          <a:endParaRPr lang="en-US" sz="1600" baseline="0"/>
        </a:p>
        <a:p>
          <a:r>
            <a:rPr lang="en-US" sz="1600" baseline="0"/>
            <a:t>		C: Raile_Stump_DOB_B1 in "coeff 1" tab</a:t>
          </a:r>
        </a:p>
        <a:p>
          <a:endParaRPr lang="en-US" sz="1600" baseline="0"/>
        </a:p>
        <a:p>
          <a:endParaRPr lang="en-US" sz="1600" baseline="0"/>
        </a:p>
        <a:p>
          <a:r>
            <a:rPr lang="en-US" sz="1600" baseline="0"/>
            <a:t>Top biomass = Tot biomass - Bole biomass - Stump Biomass - Foliage biomass. (foliage is needles or leaves)</a:t>
          </a:r>
        </a:p>
        <a:p>
          <a:endParaRPr lang="en-US" sz="1600" baseline="0"/>
        </a:p>
        <a:p>
          <a:r>
            <a:rPr lang="en-US" sz="1600" baseline="0"/>
            <a:t>Top = limbs, branches, twigs (this is my interpretation)</a:t>
          </a:r>
        </a:p>
        <a:p>
          <a:endParaRPr lang="en-US" sz="1600" baseline="0"/>
        </a:p>
        <a:p>
          <a:r>
            <a:rPr lang="en-US" sz="1600" baseline="0"/>
            <a:t>Note that the mass ratio of Top to (bole + stump) is usually between  0.085 and 1.000 for larger trees. It is unclear if the corresponding volume ratio would be the same. However, it is assumed so for cell K11.</a:t>
          </a:r>
        </a:p>
        <a:p>
          <a:endParaRPr lang="en-US" sz="1600" baseline="0"/>
        </a:p>
        <a:p>
          <a:endParaRPr lang="en-US" sz="1600"/>
        </a:p>
      </xdr:txBody>
    </xdr:sp>
    <xdr:clientData/>
  </xdr:twoCellAnchor>
  <xdr:twoCellAnchor>
    <xdr:from>
      <xdr:col>15</xdr:col>
      <xdr:colOff>50800</xdr:colOff>
      <xdr:row>9</xdr:row>
      <xdr:rowOff>266700</xdr:rowOff>
    </xdr:from>
    <xdr:to>
      <xdr:col>27</xdr:col>
      <xdr:colOff>12700</xdr:colOff>
      <xdr:row>74</xdr:row>
      <xdr:rowOff>152400</xdr:rowOff>
    </xdr:to>
    <xdr:sp macro="" textlink="" fLocksText="0">
      <xdr:nvSpPr>
        <xdr:cNvPr id="3" name="TextBox 4">
          <a:extLst>
            <a:ext uri="{FF2B5EF4-FFF2-40B4-BE49-F238E27FC236}">
              <a16:creationId xmlns:a16="http://schemas.microsoft.com/office/drawing/2014/main" id="{C99E96A0-8EFD-8D40-9789-2300CE046936}"/>
            </a:ext>
          </a:extLst>
        </xdr:cNvPr>
        <xdr:cNvSpPr>
          <a:spLocks noChangeArrowheads="1"/>
        </xdr:cNvSpPr>
      </xdr:nvSpPr>
      <xdr:spPr bwMode="auto">
        <a:xfrm>
          <a:off x="16852900" y="3022600"/>
          <a:ext cx="9791700" cy="13855700"/>
        </a:xfrm>
        <a:prstGeom prst="rect">
          <a:avLst/>
        </a:prstGeom>
        <a:solidFill>
          <a:srgbClr val="FFFF66"/>
        </a:solidFill>
        <a:ln w="9360">
          <a:solidFill>
            <a:srgbClr val="BCBCB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t"/>
        <a:lstStyle/>
        <a:p>
          <a:pPr algn="l" rtl="0">
            <a:lnSpc>
              <a:spcPts val="1900"/>
            </a:lnSpc>
            <a:defRPr sz="1000"/>
          </a:pPr>
          <a:r>
            <a:rPr lang="en-US" sz="1800" b="1" i="0" u="none" strike="noStrike" baseline="0">
              <a:solidFill>
                <a:srgbClr val="000000"/>
              </a:solidFill>
              <a:latin typeface="Times New Roman" pitchFamily="1" charset="0"/>
              <a:cs typeface="Times New Roman" pitchFamily="1" charset="0"/>
            </a:rPr>
            <a:t>The Estimation Process in this spreadsheet:</a:t>
          </a:r>
        </a:p>
        <a:p>
          <a:pPr algn="l" rtl="0">
            <a:lnSpc>
              <a:spcPts val="1900"/>
            </a:lnSpc>
            <a:defRPr sz="1000"/>
          </a:pPr>
          <a:endParaRPr lang="en-US" sz="18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This spreadsheet uses the following procedure to estimate biomass:</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1" i="0" u="none" strike="noStrike" baseline="0">
              <a:solidFill>
                <a:srgbClr val="000000"/>
              </a:solidFill>
              <a:latin typeface="Times New Roman" pitchFamily="1" charset="0"/>
              <a:cs typeface="Times New Roman" pitchFamily="1" charset="0"/>
            </a:rPr>
            <a:t>1) VOLCFGRS (Feet3) = b(DBH2 × Total Tree Height). </a:t>
          </a: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The </a:t>
          </a:r>
          <a:r>
            <a:rPr lang="en-US" sz="1200" b="1" i="0" u="none" strike="noStrike" baseline="0">
              <a:solidFill>
                <a:srgbClr val="FF0000"/>
              </a:solidFill>
              <a:latin typeface="Times New Roman" pitchFamily="1" charset="0"/>
              <a:cs typeface="Times New Roman" pitchFamily="1" charset="0"/>
            </a:rPr>
            <a:t>coefficient b</a:t>
          </a:r>
          <a:r>
            <a:rPr lang="en-US" sz="1200" b="0" i="0" u="none" strike="noStrike" baseline="0">
              <a:solidFill>
                <a:srgbClr val="FF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is based on a regression fit to TREE table data in the FIADB.  Species that had relative errors greater than 10% were omitted from this spreadsheet.  Note that FIA bases their VOLCFGRS estimates on region-specific equations.  </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2) VOLCFSND (Feet3) = VOLCFGRS × Cull%</a:t>
          </a: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3) </a:t>
          </a:r>
          <a:r>
            <a:rPr lang="en-US" sz="1200" b="1" i="0" u="none" strike="noStrike" baseline="0">
              <a:solidFill>
                <a:srgbClr val="FF0000"/>
              </a:solidFill>
              <a:latin typeface="Times New Roman" pitchFamily="1" charset="0"/>
              <a:cs typeface="Times New Roman" pitchFamily="1" charset="0"/>
            </a:rPr>
            <a:t>DRYBIO_BOLE (lbs)</a:t>
          </a:r>
          <a:r>
            <a:rPr lang="en-US" sz="1200" b="1" i="0" u="none" strike="noStrike" baseline="0">
              <a:solidFill>
                <a:srgbClr val="000000"/>
              </a:solidFill>
              <a:latin typeface="Times New Roman" pitchFamily="1" charset="0"/>
              <a:cs typeface="Times New Roman" pitchFamily="1" charset="0"/>
            </a:rPr>
            <a:t> = (VOLCFSND × (BARK_VOL_PCT/100) × (BARK_SPGR_GREENVOL_DRYWT × 62.4)) + </a:t>
          </a:r>
        </a:p>
        <a:p>
          <a:pPr algn="l" rtl="0">
            <a:lnSpc>
              <a:spcPts val="1200"/>
            </a:lnSpc>
            <a:defRPr sz="1000"/>
          </a:pPr>
          <a:r>
            <a:rPr lang="en-US" sz="1200" b="1" i="0" u="none" strike="noStrike" baseline="0">
              <a:solidFill>
                <a:srgbClr val="000000"/>
              </a:solidFill>
              <a:latin typeface="Times New Roman" pitchFamily="1" charset="0"/>
              <a:cs typeface="Times New Roman" pitchFamily="1" charset="0"/>
            </a:rPr>
            <a:t>	                      (VOLCFSND × WOOD_SPGR_GREENVOL_DRYWT × 62.4)</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BARK_SPGR_GREENVOL_DRYW (green specific gravity of the bark (green volume and oven-dry weight)</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WOOD_SPGR_GREENVOL_DRYWT (green specific gravity of the wood (green volume and oven-dry weight)</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Each specice specific gravity of the bark and the wood is presented in "coeff 1" tab.</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4) </a:t>
          </a:r>
        </a:p>
        <a:p>
          <a:pPr algn="l" rtl="0">
            <a:lnSpc>
              <a:spcPts val="1200"/>
            </a:lnSpc>
            <a:defRPr sz="1000"/>
          </a:pPr>
          <a:r>
            <a:rPr lang="en-US" sz="1200" b="1" i="0" u="none" strike="noStrike" baseline="0">
              <a:solidFill>
                <a:srgbClr val="000000"/>
              </a:solidFill>
              <a:latin typeface="Times New Roman" pitchFamily="1" charset="0"/>
              <a:cs typeface="Times New Roman" pitchFamily="1" charset="0"/>
            </a:rPr>
            <a:t>    Total_AG_biomass_Jenkins (lbs) = Exp(Jenkins_Total_B1 + Jenkins_Total_B2 * ln( DBH × 2.54 )) × 2.2046</a:t>
          </a: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Each species specific Jenkins_Total_B1 and B2 is presented in "coeff 1" tabl </a:t>
          </a:r>
        </a:p>
        <a:p>
          <a:pPr algn="l" rtl="0">
            <a:lnSpc>
              <a:spcPts val="12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Stem_ratio = Exp( Jenkins_Stem_Wood_Ratio_B1 + Jenkins_Stem_Wood_Ratio_B2 / ( DBH × 2.54 ))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Each species specific Jenkins_Stem_Wood_Ratio_B1 and B2 is presented in "coeff 1" tabl </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Bark_ratio = Exp( Jenkins_Stem_Bark_Ratio_B1 + Jenkins_Stem_Bark_Ratio_B2 / ( DBH × 2.54 ))</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Each species specific Jenkins_Stem_Bark_Ratio_B1 and B2 is presented in "coeff 1" tabl </a:t>
          </a:r>
        </a:p>
        <a:p>
          <a:pPr algn="l" rtl="0">
            <a:lnSpc>
              <a:spcPts val="12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Foliage_ratio = Exp( Jenkins_Foliage_Ratio_B1 + Jenkins_Foliage_Ratio_B2 / ( DBH × 2.54 ))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Each species specific Jenkins_Foliage_Ratio_B1 and B2 is presented in "coeff 1" tabl </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Stem_biomass_Jenkins (lbs) = Total_AG_biomass_Jenkins × Stem_ratio </a:t>
          </a: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Bark_biomass_Jenkins (lbs) = Total_AG_biomass_Jenkins × Bark_ratio</a:t>
          </a: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Bole_biomass_Jenkins (lbs) = Stem_biomass_Jenkins + Bark_biomass_Jenkins</a:t>
          </a: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Foliage_biomass_Jenkins (lbs) = Total_AG_biomass_Jenkins × Foliage_ratio</a:t>
          </a: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Stump_biomass (lbs) = Stump Bark Biomass + Stump Wood Biomass</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Stump_vol_DIB = 0.005454153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DBH2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  A2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(5.62462 × A × B ) + (8.50038 </a:t>
          </a:r>
          <a:r>
            <a:rPr lang="en-US" sz="1200" b="1" i="0" u="none" strike="noStrike" baseline="0">
              <a:solidFill>
                <a:srgbClr val="000000"/>
              </a:solidFill>
              <a:latin typeface="Times New Roman" pitchFamily="1" charset="0"/>
              <a:cs typeface="Times New Roman" pitchFamily="1" charset="0"/>
            </a:rPr>
            <a:t>×</a:t>
          </a:r>
          <a:r>
            <a:rPr lang="en-US" sz="1000" b="0" i="0" u="none" strike="noStrike" baseline="0">
              <a:solidFill>
                <a:srgbClr val="000000"/>
              </a:solidFill>
              <a:latin typeface="Calibri" charset="0"/>
              <a:cs typeface="Calibri" charset="0"/>
            </a:rPr>
            <a:t> </a:t>
          </a:r>
          <a:r>
            <a:rPr lang="en-US" sz="1200" b="0" i="0" u="none" strike="noStrike" baseline="0">
              <a:solidFill>
                <a:srgbClr val="000000"/>
              </a:solidFill>
              <a:latin typeface="Times New Roman" pitchFamily="1" charset="0"/>
              <a:cs typeface="Times New Roman" pitchFamily="1" charset="0"/>
            </a:rPr>
            <a:t>B2) )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 Raile_Stump_DIB_B1 in "coeff 1" tab</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B: Raile_Stump_DIB_B2 in "coeff 1" tab</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Stump_vol_DOB = ( 0.005454153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DBH2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  1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(5.62462 × C ) + (8.50038 </a:t>
          </a:r>
          <a:r>
            <a:rPr lang="en-US" sz="1200" b="1" i="0" u="none" strike="noStrike" baseline="0">
              <a:solidFill>
                <a:srgbClr val="000000"/>
              </a:solidFill>
              <a:latin typeface="Times New Roman" pitchFamily="1" charset="0"/>
              <a:cs typeface="Times New Roman" pitchFamily="1" charset="0"/>
            </a:rPr>
            <a:t>×</a:t>
          </a:r>
          <a:r>
            <a:rPr lang="en-US" sz="1000" b="0" i="0" u="none" strike="noStrike" baseline="0">
              <a:solidFill>
                <a:srgbClr val="000000"/>
              </a:solidFill>
              <a:latin typeface="Calibri" charset="0"/>
              <a:cs typeface="Calibri" charset="0"/>
            </a:rPr>
            <a:t> </a:t>
          </a:r>
          <a:r>
            <a:rPr lang="en-US" sz="1200" b="0" i="0" u="none" strike="noStrike" baseline="0">
              <a:solidFill>
                <a:srgbClr val="000000"/>
              </a:solidFill>
              <a:latin typeface="Times New Roman" pitchFamily="1" charset="0"/>
              <a:cs typeface="Times New Roman" pitchFamily="1" charset="0"/>
            </a:rPr>
            <a:t>C2) )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C: Raile_Stump_DOB_B1 in "coeff 1" tab</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Stump Bark Biomas = (Stump_vol_DOB - Stump_vol_DIB ) × Bark_SPGR_GREENVOL_DRYW × 62.4</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Stump Wood Biomass = Stump_vol_DIB × Wood_SPGR_GREENVOL_DRYW × 62.4</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Top_biomass_Jenkins (lbs) = ( Total_AG_biomass_Jenkins - Stem_biomass_Jenkins - Bark_biomass_jenkins -    			         Foliage_biomass_Jenkins - Stump_biomass )</a:t>
          </a: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5) </a:t>
          </a: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    </a:t>
          </a:r>
          <a:r>
            <a:rPr lang="en-US" sz="1200" b="1" i="0" u="none" strike="noStrike" baseline="0">
              <a:solidFill>
                <a:srgbClr val="FF0000"/>
              </a:solidFill>
              <a:latin typeface="Times New Roman" pitchFamily="1" charset="0"/>
              <a:cs typeface="Times New Roman" pitchFamily="1" charset="0"/>
            </a:rPr>
            <a:t>DRYBIO_TOP (lbs) </a:t>
          </a:r>
          <a:r>
            <a:rPr lang="en-US" sz="1200" b="1" i="0" u="none" strike="noStrike" baseline="0">
              <a:solidFill>
                <a:srgbClr val="000000"/>
              </a:solidFill>
              <a:latin typeface="Times New Roman" pitchFamily="1" charset="0"/>
              <a:cs typeface="Times New Roman" pitchFamily="1" charset="0"/>
            </a:rPr>
            <a:t>= Top_biomass_Jenkins × AdjFac</a:t>
          </a: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AdjFac = DRYBIO_BOLE / Bole_biomass_Jenkins</a:t>
          </a:r>
        </a:p>
        <a:p>
          <a:pPr algn="l" rtl="0">
            <a:lnSpc>
              <a:spcPts val="12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    </a:t>
          </a:r>
          <a:r>
            <a:rPr lang="en-US" sz="1200" b="1" i="0" u="none" strike="noStrike" baseline="0">
              <a:solidFill>
                <a:srgbClr val="FF0000"/>
              </a:solidFill>
              <a:latin typeface="Times New Roman" pitchFamily="1" charset="0"/>
              <a:cs typeface="Times New Roman" pitchFamily="1" charset="0"/>
            </a:rPr>
            <a:t>DRYBIO_STUMP (lbs) </a:t>
          </a:r>
          <a:r>
            <a:rPr lang="en-US" sz="1200" b="1" i="0" u="none" strike="noStrike" baseline="0">
              <a:solidFill>
                <a:srgbClr val="000000"/>
              </a:solidFill>
              <a:latin typeface="Times New Roman" pitchFamily="1" charset="0"/>
              <a:cs typeface="Times New Roman" pitchFamily="1" charset="0"/>
            </a:rPr>
            <a:t>= Stump_biomass_Jenkins × AdjFac</a:t>
          </a: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FF0000"/>
              </a:solidFill>
              <a:latin typeface="Times New Roman" pitchFamily="1" charset="0"/>
              <a:cs typeface="Times New Roman" pitchFamily="1" charset="0"/>
            </a:rPr>
            <a:t>DRYBIOT (lbs)</a:t>
          </a:r>
          <a:r>
            <a:rPr lang="en-US" sz="1200" b="1" i="0" u="none" strike="noStrike" baseline="0">
              <a:solidFill>
                <a:srgbClr val="000000"/>
              </a:solidFill>
              <a:latin typeface="Times New Roman" pitchFamily="1" charset="0"/>
              <a:cs typeface="Times New Roman" pitchFamily="1" charset="0"/>
            </a:rPr>
            <a:t> = DRYBIO_BOLE + DRYBIO_TOP + DRYBIOT_STUMP</a:t>
          </a:r>
          <a:r>
            <a:rPr lang="en-US" sz="1200" b="0" i="0" u="none" strike="noStrike" baseline="0">
              <a:solidFill>
                <a:srgbClr val="000000"/>
              </a:solidFill>
              <a:latin typeface="Times New Roman" pitchFamily="1" charset="0"/>
              <a:cs typeface="Times New Roman" pitchFamily="1" charset="0"/>
            </a:rPr>
            <a:t>           </a:t>
          </a: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p>
      </xdr:txBody>
    </xdr:sp>
    <xdr:clientData/>
  </xdr:twoCellAnchor>
  <xdr:twoCellAnchor>
    <xdr:from>
      <xdr:col>3</xdr:col>
      <xdr:colOff>165100</xdr:colOff>
      <xdr:row>11</xdr:row>
      <xdr:rowOff>38100</xdr:rowOff>
    </xdr:from>
    <xdr:to>
      <xdr:col>10</xdr:col>
      <xdr:colOff>876300</xdr:colOff>
      <xdr:row>12</xdr:row>
      <xdr:rowOff>114300</xdr:rowOff>
    </xdr:to>
    <xdr:sp macro="" textlink="">
      <xdr:nvSpPr>
        <xdr:cNvPr id="6" name="TextBox 5">
          <a:extLst>
            <a:ext uri="{FF2B5EF4-FFF2-40B4-BE49-F238E27FC236}">
              <a16:creationId xmlns:a16="http://schemas.microsoft.com/office/drawing/2014/main" id="{90FF6AD0-72B5-C64C-A4A6-2AEE854B77B2}"/>
            </a:ext>
          </a:extLst>
        </xdr:cNvPr>
        <xdr:cNvSpPr txBox="1"/>
      </xdr:nvSpPr>
      <xdr:spPr>
        <a:xfrm>
          <a:off x="3098800" y="3276600"/>
          <a:ext cx="574040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Trunk Vol = bole + stump (outside bark)</a:t>
          </a:r>
        </a:p>
      </xdr:txBody>
    </xdr:sp>
    <xdr:clientData/>
  </xdr:twoCellAnchor>
  <xdr:twoCellAnchor>
    <xdr:from>
      <xdr:col>0</xdr:col>
      <xdr:colOff>12700</xdr:colOff>
      <xdr:row>43</xdr:row>
      <xdr:rowOff>50800</xdr:rowOff>
    </xdr:from>
    <xdr:to>
      <xdr:col>14</xdr:col>
      <xdr:colOff>787400</xdr:colOff>
      <xdr:row>57</xdr:row>
      <xdr:rowOff>50800</xdr:rowOff>
    </xdr:to>
    <xdr:sp macro="" textlink="">
      <xdr:nvSpPr>
        <xdr:cNvPr id="4" name="TextBox 3">
          <a:extLst>
            <a:ext uri="{FF2B5EF4-FFF2-40B4-BE49-F238E27FC236}">
              <a16:creationId xmlns:a16="http://schemas.microsoft.com/office/drawing/2014/main" id="{BF5941C7-7E70-4D47-B982-AEF0D43ECE9D}"/>
            </a:ext>
          </a:extLst>
        </xdr:cNvPr>
        <xdr:cNvSpPr txBox="1"/>
      </xdr:nvSpPr>
      <xdr:spPr>
        <a:xfrm>
          <a:off x="12700" y="10160000"/>
          <a:ext cx="14312900" cy="284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This worksheet allows the user to</a:t>
          </a:r>
          <a:r>
            <a:rPr lang="en-US" sz="1600" b="1" baseline="0"/>
            <a:t> </a:t>
          </a:r>
          <a:r>
            <a:rPr lang="en-US" sz="1600" b="1"/>
            <a:t>compare the trunk volume of a white pine computed through the FIA and the direct modeling method of the Native Tree Society (NTS) that employs a trunk form factor. Thus for a sample pine, its DBH,</a:t>
          </a:r>
          <a:r>
            <a:rPr lang="en-US" sz="1600" b="1" baseline="0"/>
            <a:t> height, and trunk form factor must be known to be able to make the comparison.  This worksheet applies the FIA model to get full above ground biomass as shown in cell O2.  </a:t>
          </a:r>
        </a:p>
        <a:p>
          <a:endParaRPr lang="en-US" sz="1600" b="1" baseline="0"/>
        </a:p>
        <a:p>
          <a:r>
            <a:rPr lang="en-US" sz="1600" b="1" baseline="0"/>
            <a:t>The volume comparisons are cells </a:t>
          </a:r>
          <a:r>
            <a:rPr lang="en-US" sz="1600" b="1" baseline="0">
              <a:solidFill>
                <a:srgbClr val="FF0000"/>
              </a:solidFill>
            </a:rPr>
            <a:t>K10</a:t>
          </a:r>
          <a:r>
            <a:rPr lang="en-US" sz="1600" b="1" baseline="0"/>
            <a:t> and </a:t>
          </a:r>
          <a:r>
            <a:rPr lang="en-US" sz="1600" b="1" baseline="0">
              <a:solidFill>
                <a:srgbClr val="FF0000"/>
              </a:solidFill>
            </a:rPr>
            <a:t>L37</a:t>
          </a:r>
          <a:r>
            <a:rPr lang="en-US" sz="1600" b="1" baseline="0"/>
            <a:t>. </a:t>
          </a:r>
        </a:p>
        <a:p>
          <a:endParaRPr lang="en-US" sz="1600" b="1" baseline="0"/>
        </a:p>
        <a:p>
          <a:r>
            <a:rPr lang="en-US" sz="1600" b="1" baseline="0"/>
            <a:t>To get a direct NTS to FIA stump volume comparison enter the circumference at the base and one foot above (if available) in cells G42 and I42 above, The comparison will be to that in cell L25.  </a:t>
          </a:r>
          <a:endParaRPr lang="en-US" sz="1600" b="1"/>
        </a:p>
      </xdr:txBody>
    </xdr:sp>
    <xdr:clientData/>
  </xdr:twoCellAnchor>
  <xdr:twoCellAnchor>
    <xdr:from>
      <xdr:col>15</xdr:col>
      <xdr:colOff>1155700</xdr:colOff>
      <xdr:row>0</xdr:row>
      <xdr:rowOff>12700</xdr:rowOff>
    </xdr:from>
    <xdr:to>
      <xdr:col>26</xdr:col>
      <xdr:colOff>558800</xdr:colOff>
      <xdr:row>9</xdr:row>
      <xdr:rowOff>177800</xdr:rowOff>
    </xdr:to>
    <xdr:sp macro="" textlink="">
      <xdr:nvSpPr>
        <xdr:cNvPr id="5" name="TextBox 4">
          <a:extLst>
            <a:ext uri="{FF2B5EF4-FFF2-40B4-BE49-F238E27FC236}">
              <a16:creationId xmlns:a16="http://schemas.microsoft.com/office/drawing/2014/main" id="{28F580F2-C082-A34B-A06D-4E19B5E16BAE}"/>
            </a:ext>
          </a:extLst>
        </xdr:cNvPr>
        <xdr:cNvSpPr txBox="1"/>
      </xdr:nvSpPr>
      <xdr:spPr>
        <a:xfrm>
          <a:off x="18326100" y="12700"/>
          <a:ext cx="8407400" cy="297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Row #3 shows Jenkins determinations. Jenkins VOLCFGRS is based on a model that uses only DBH.</a:t>
          </a:r>
        </a:p>
        <a:p>
          <a:endParaRPr lang="en-US" sz="1400" b="1"/>
        </a:p>
        <a:p>
          <a:r>
            <a:rPr lang="en-US" sz="1400" b="1"/>
            <a:t>Cell P2 shows the trunk form factor computed as follows:   =K7/((G2/12)^2/4*PI()*H2)</a:t>
          </a:r>
        </a:p>
        <a:p>
          <a:endParaRPr lang="en-US" sz="1400" b="1"/>
        </a:p>
        <a:p>
          <a:r>
            <a:rPr lang="en-US" sz="1400" b="1"/>
            <a:t>The calculations</a:t>
          </a:r>
          <a:r>
            <a:rPr lang="en-US" sz="1400" b="1" baseline="0"/>
            <a:t> on row #2 use the COLE regression-based model. It uses both DBH and Height to compute VOLCFGRS, and elements of Jenkins model and Raile determination of stump volume and mass. It is a hybrid model.</a:t>
          </a:r>
        </a:p>
        <a:p>
          <a:endParaRPr lang="en-US" sz="1400" b="1" baseline="0"/>
        </a:p>
        <a:p>
          <a:r>
            <a:rPr lang="en-US" sz="1400" b="1" baseline="0"/>
            <a:t>The top to (bole + stump ratio) shown in cell N36  varies  with DBH. </a:t>
          </a:r>
        </a:p>
        <a:p>
          <a:r>
            <a:rPr lang="en-US" sz="1400" b="1" baseline="0"/>
            <a:t> </a:t>
          </a:r>
          <a:endParaRPr lang="en-US" sz="1400" b="1"/>
        </a:p>
      </xdr:txBody>
    </xdr:sp>
    <xdr:clientData/>
  </xdr:twoCellAnchor>
  <xdr:oneCellAnchor>
    <xdr:from>
      <xdr:col>6</xdr:col>
      <xdr:colOff>393700</xdr:colOff>
      <xdr:row>38</xdr:row>
      <xdr:rowOff>38100</xdr:rowOff>
    </xdr:from>
    <xdr:ext cx="5742406" cy="347403"/>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EB3D4373-86A7-F942-8CB0-661421FE9612}"/>
                </a:ext>
              </a:extLst>
            </xdr:cNvPr>
            <xdr:cNvSpPr txBox="1"/>
          </xdr:nvSpPr>
          <xdr:spPr>
            <a:xfrm>
              <a:off x="4127500" y="9461500"/>
              <a:ext cx="5742406" cy="347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2000" b="1" i="1">
                        <a:latin typeface="Cambria Math" panose="02040503050406030204" pitchFamily="18" charset="0"/>
                      </a:rPr>
                      <m:t>𝑽</m:t>
                    </m:r>
                    <m:r>
                      <a:rPr lang="en-US" sz="2000" b="1" i="1">
                        <a:latin typeface="Cambria Math" panose="02040503050406030204" pitchFamily="18" charset="0"/>
                      </a:rPr>
                      <m:t>=</m:t>
                    </m:r>
                    <m:r>
                      <a:rPr lang="en-US" sz="2000" b="1" i="1">
                        <a:latin typeface="Cambria Math" panose="02040503050406030204" pitchFamily="18" charset="0"/>
                      </a:rPr>
                      <m:t>𝟎</m:t>
                    </m:r>
                    <m:r>
                      <a:rPr lang="en-US" sz="2000" b="1" i="1">
                        <a:latin typeface="Cambria Math" panose="02040503050406030204" pitchFamily="18" charset="0"/>
                      </a:rPr>
                      <m:t>.</m:t>
                    </m:r>
                    <m:r>
                      <a:rPr lang="en-US" sz="2000" b="1" i="1">
                        <a:latin typeface="Cambria Math" panose="02040503050406030204" pitchFamily="18" charset="0"/>
                      </a:rPr>
                      <m:t>𝟑𝟒𝟎𝟗𝟒</m:t>
                    </m:r>
                    <m:r>
                      <a:rPr lang="en-US" sz="2000" b="1" i="1">
                        <a:latin typeface="Cambria Math" panose="02040503050406030204" pitchFamily="18" charset="0"/>
                      </a:rPr>
                      <m:t>𝑯</m:t>
                    </m:r>
                    <m:sSup>
                      <m:sSupPr>
                        <m:ctrlPr>
                          <a:rPr lang="en-US" sz="2000" b="1" i="1">
                            <a:latin typeface="Cambria Math" panose="02040503050406030204" pitchFamily="18" charset="0"/>
                          </a:rPr>
                        </m:ctrlPr>
                      </m:sSupPr>
                      <m:e>
                        <m:r>
                          <a:rPr lang="en-US" sz="2000" b="1" i="1">
                            <a:latin typeface="Cambria Math" panose="02040503050406030204" pitchFamily="18" charset="0"/>
                          </a:rPr>
                          <m:t>𝑫</m:t>
                        </m:r>
                      </m:e>
                      <m:sup>
                        <m:r>
                          <a:rPr lang="en-US" sz="2000" b="1" i="1">
                            <a:latin typeface="Cambria Math" panose="02040503050406030204" pitchFamily="18" charset="0"/>
                          </a:rPr>
                          <m:t>𝟐</m:t>
                        </m:r>
                      </m:sup>
                    </m:sSup>
                    <m:d>
                      <m:dPr>
                        <m:ctrlPr>
                          <a:rPr lang="en-US" sz="2000" b="1" i="1">
                            <a:latin typeface="Cambria Math" panose="02040503050406030204" pitchFamily="18" charset="0"/>
                          </a:rPr>
                        </m:ctrlPr>
                      </m:dPr>
                      <m:e>
                        <m:r>
                          <a:rPr lang="en-US" sz="2000" b="1" i="1">
                            <a:latin typeface="Cambria Math" panose="02040503050406030204" pitchFamily="18" charset="0"/>
                          </a:rPr>
                          <m:t>𝟏</m:t>
                        </m:r>
                        <m:r>
                          <a:rPr lang="en-US" sz="2000" b="1" i="1">
                            <a:latin typeface="Cambria Math" panose="02040503050406030204" pitchFamily="18" charset="0"/>
                          </a:rPr>
                          <m:t>+</m:t>
                        </m:r>
                        <m:r>
                          <a:rPr lang="en-US" sz="2000" b="1" i="1">
                            <a:latin typeface="Cambria Math" panose="02040503050406030204" pitchFamily="18" charset="0"/>
                          </a:rPr>
                          <m:t>𝟎</m:t>
                        </m:r>
                        <m:r>
                          <a:rPr lang="en-US" sz="2000" b="1" i="1">
                            <a:latin typeface="Cambria Math" panose="02040503050406030204" pitchFamily="18" charset="0"/>
                          </a:rPr>
                          <m:t>.</m:t>
                        </m:r>
                        <m:r>
                          <a:rPr lang="en-US" sz="2000" b="1" i="1">
                            <a:latin typeface="Cambria Math" panose="02040503050406030204" pitchFamily="18" charset="0"/>
                          </a:rPr>
                          <m:t>𝟏𝟗𝟎𝟓𝟓𝟕</m:t>
                        </m:r>
                        <m:sSup>
                          <m:sSupPr>
                            <m:ctrlPr>
                              <a:rPr lang="en-US" sz="2000" b="1" i="1">
                                <a:latin typeface="Cambria Math" panose="02040503050406030204" pitchFamily="18" charset="0"/>
                              </a:rPr>
                            </m:ctrlPr>
                          </m:sSupPr>
                          <m:e>
                            <m:d>
                              <m:dPr>
                                <m:ctrlPr>
                                  <a:rPr lang="en-US" sz="2000" b="1" i="1">
                                    <a:latin typeface="Cambria Math" panose="02040503050406030204" pitchFamily="18" charset="0"/>
                                  </a:rPr>
                                </m:ctrlPr>
                              </m:dPr>
                              <m:e>
                                <m:r>
                                  <a:rPr lang="en-US" sz="2000" b="1" i="1">
                                    <a:latin typeface="Cambria Math" panose="02040503050406030204" pitchFamily="18" charset="0"/>
                                  </a:rPr>
                                  <m:t>𝟏𝟐</m:t>
                                </m:r>
                                <m:r>
                                  <a:rPr lang="en-US" sz="2000" b="1" i="1">
                                    <a:latin typeface="Cambria Math" panose="02040503050406030204" pitchFamily="18" charset="0"/>
                                  </a:rPr>
                                  <m:t>𝑫</m:t>
                                </m:r>
                              </m:e>
                            </m:d>
                          </m:e>
                          <m:sup>
                            <m:r>
                              <a:rPr lang="en-US" sz="2000" b="1" i="1">
                                <a:latin typeface="Cambria Math" panose="02040503050406030204" pitchFamily="18" charset="0"/>
                              </a:rPr>
                              <m:t>−</m:t>
                            </m:r>
                            <m:r>
                              <a:rPr lang="en-US" sz="2000" b="1" i="1">
                                <a:latin typeface="Cambria Math" panose="02040503050406030204" pitchFamily="18" charset="0"/>
                              </a:rPr>
                              <m:t>𝟎</m:t>
                            </m:r>
                            <m:r>
                              <a:rPr lang="en-US" sz="2000" b="1" i="1">
                                <a:latin typeface="Cambria Math" panose="02040503050406030204" pitchFamily="18" charset="0"/>
                              </a:rPr>
                              <m:t>.</m:t>
                            </m:r>
                            <m:r>
                              <a:rPr lang="en-US" sz="2000" b="1" i="1">
                                <a:latin typeface="Cambria Math" panose="02040503050406030204" pitchFamily="18" charset="0"/>
                              </a:rPr>
                              <m:t>𝟎𝟓𝟓𝟏𝟎𝟒𝟏</m:t>
                            </m:r>
                          </m:sup>
                        </m:sSup>
                      </m:e>
                    </m:d>
                  </m:oMath>
                </m:oMathPara>
              </a14:m>
              <a:endParaRPr lang="en-US" sz="2000" b="1"/>
            </a:p>
          </xdr:txBody>
        </xdr:sp>
      </mc:Choice>
      <mc:Fallback xmlns="">
        <xdr:sp macro="" textlink="">
          <xdr:nvSpPr>
            <xdr:cNvPr id="7" name="TextBox 6">
              <a:extLst>
                <a:ext uri="{FF2B5EF4-FFF2-40B4-BE49-F238E27FC236}">
                  <a16:creationId xmlns:a16="http://schemas.microsoft.com/office/drawing/2014/main" id="{EB3D4373-86A7-F942-8CB0-661421FE9612}"/>
                </a:ext>
              </a:extLst>
            </xdr:cNvPr>
            <xdr:cNvSpPr txBox="1"/>
          </xdr:nvSpPr>
          <xdr:spPr>
            <a:xfrm>
              <a:off x="4127500" y="9461500"/>
              <a:ext cx="5742406" cy="347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2000" b="1" i="0">
                  <a:latin typeface="Cambria Math" panose="02040503050406030204" pitchFamily="18" charset="0"/>
                </a:rPr>
                <a:t>𝑽=𝟎.𝟑𝟒𝟎𝟗𝟒𝑯𝑫^𝟐 (𝟏+𝟎.𝟏𝟗𝟎𝟓𝟓𝟕(𝟏𝟐𝑫)^(−𝟎.𝟎𝟓𝟓𝟏𝟎𝟒𝟏) )</a:t>
              </a:r>
              <a:endParaRPr lang="en-US" sz="2000" b="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8</xdr:col>
      <xdr:colOff>736600</xdr:colOff>
      <xdr:row>5</xdr:row>
      <xdr:rowOff>0</xdr:rowOff>
    </xdr:from>
    <xdr:ext cx="3239990" cy="29803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22942060-1C4B-F247-94DA-FFC43AB97FEC}"/>
                </a:ext>
              </a:extLst>
            </xdr:cNvPr>
            <xdr:cNvSpPr txBox="1"/>
          </xdr:nvSpPr>
          <xdr:spPr>
            <a:xfrm>
              <a:off x="7340600" y="1168400"/>
              <a:ext cx="3239990" cy="2980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800" b="1" i="1">
                            <a:latin typeface="Cambria Math" panose="02040503050406030204" pitchFamily="18" charset="0"/>
                          </a:rPr>
                        </m:ctrlPr>
                      </m:sSubPr>
                      <m:e>
                        <m:r>
                          <a:rPr lang="en-US" sz="1800" b="1" i="1">
                            <a:latin typeface="Cambria Math" panose="02040503050406030204" pitchFamily="18" charset="0"/>
                          </a:rPr>
                          <m:t>𝑽</m:t>
                        </m:r>
                      </m:e>
                      <m:sub>
                        <m:r>
                          <a:rPr lang="en-US" sz="1800" b="1" i="1">
                            <a:latin typeface="Cambria Math" panose="02040503050406030204" pitchFamily="18" charset="0"/>
                          </a:rPr>
                          <m:t>𝒍</m:t>
                        </m:r>
                      </m:sub>
                    </m:sSub>
                    <m:r>
                      <a:rPr lang="en-US" sz="1800" b="1" i="1">
                        <a:latin typeface="Cambria Math" panose="02040503050406030204" pitchFamily="18" charset="0"/>
                      </a:rPr>
                      <m:t>=</m:t>
                    </m:r>
                    <m:r>
                      <a:rPr lang="en-US" sz="1800" b="1" i="1">
                        <a:latin typeface="Cambria Math" panose="02040503050406030204" pitchFamily="18" charset="0"/>
                      </a:rPr>
                      <m:t>𝟎</m:t>
                    </m:r>
                    <m:r>
                      <a:rPr lang="en-US" sz="1800" b="1" i="1">
                        <a:latin typeface="Cambria Math" panose="02040503050406030204" pitchFamily="18" charset="0"/>
                      </a:rPr>
                      <m:t>.</m:t>
                    </m:r>
                    <m:r>
                      <a:rPr lang="en-US" sz="1800" b="1" i="1">
                        <a:latin typeface="Cambria Math" panose="02040503050406030204" pitchFamily="18" charset="0"/>
                      </a:rPr>
                      <m:t>𝟏𝟗𝟎𝟓𝟓𝟕</m:t>
                    </m:r>
                    <m:sSup>
                      <m:sSupPr>
                        <m:ctrlPr>
                          <a:rPr lang="en-US" sz="1800" b="1" i="1">
                            <a:latin typeface="Cambria Math" panose="02040503050406030204" pitchFamily="18" charset="0"/>
                          </a:rPr>
                        </m:ctrlPr>
                      </m:sSupPr>
                      <m:e>
                        <m:d>
                          <m:dPr>
                            <m:ctrlPr>
                              <a:rPr lang="en-US" sz="1800" b="1" i="1">
                                <a:latin typeface="Cambria Math" panose="02040503050406030204" pitchFamily="18" charset="0"/>
                              </a:rPr>
                            </m:ctrlPr>
                          </m:dPr>
                          <m:e>
                            <m:r>
                              <a:rPr lang="en-US" sz="1800" b="1" i="1">
                                <a:latin typeface="Cambria Math" panose="02040503050406030204" pitchFamily="18" charset="0"/>
                              </a:rPr>
                              <m:t>𝟏𝟐</m:t>
                            </m:r>
                            <m:r>
                              <a:rPr lang="en-US" sz="1800" b="1" i="1">
                                <a:latin typeface="Cambria Math" panose="02040503050406030204" pitchFamily="18" charset="0"/>
                              </a:rPr>
                              <m:t>𝑫</m:t>
                            </m:r>
                          </m:e>
                        </m:d>
                      </m:e>
                      <m:sup>
                        <m:r>
                          <a:rPr lang="en-US" sz="1800" b="1" i="1">
                            <a:latin typeface="Cambria Math" panose="02040503050406030204" pitchFamily="18" charset="0"/>
                          </a:rPr>
                          <m:t>−</m:t>
                        </m:r>
                        <m:r>
                          <a:rPr lang="en-US" sz="1800" b="1" i="1">
                            <a:latin typeface="Cambria Math" panose="02040503050406030204" pitchFamily="18" charset="0"/>
                          </a:rPr>
                          <m:t>𝟎</m:t>
                        </m:r>
                        <m:r>
                          <a:rPr lang="en-US" sz="1800" b="1" i="1">
                            <a:latin typeface="Cambria Math" panose="02040503050406030204" pitchFamily="18" charset="0"/>
                          </a:rPr>
                          <m:t>.</m:t>
                        </m:r>
                        <m:r>
                          <a:rPr lang="en-US" sz="1800" b="1" i="1">
                            <a:latin typeface="Cambria Math" panose="02040503050406030204" pitchFamily="18" charset="0"/>
                          </a:rPr>
                          <m:t>𝟎𝟓𝟓𝟏𝟎𝟒𝟏</m:t>
                        </m:r>
                      </m:sup>
                    </m:sSup>
                  </m:oMath>
                </m:oMathPara>
              </a14:m>
              <a:endParaRPr lang="en-US" sz="1800" b="1"/>
            </a:p>
          </xdr:txBody>
        </xdr:sp>
      </mc:Choice>
      <mc:Fallback xmlns="">
        <xdr:sp macro="" textlink="">
          <xdr:nvSpPr>
            <xdr:cNvPr id="2" name="TextBox 1">
              <a:extLst>
                <a:ext uri="{FF2B5EF4-FFF2-40B4-BE49-F238E27FC236}">
                  <a16:creationId xmlns:a16="http://schemas.microsoft.com/office/drawing/2014/main" id="{22942060-1C4B-F247-94DA-FFC43AB97FEC}"/>
                </a:ext>
              </a:extLst>
            </xdr:cNvPr>
            <xdr:cNvSpPr txBox="1"/>
          </xdr:nvSpPr>
          <xdr:spPr>
            <a:xfrm>
              <a:off x="7340600" y="1168400"/>
              <a:ext cx="3239990" cy="2980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800" b="1" i="0">
                  <a:latin typeface="Cambria Math" panose="02040503050406030204" pitchFamily="18" charset="0"/>
                </a:rPr>
                <a:t>𝑽_𝒍=𝟎.𝟏𝟗𝟎𝟓𝟓𝟕(𝟏𝟐𝑫)^(−𝟎.𝟎𝟓𝟓𝟏𝟎𝟒𝟏)</a:t>
              </a:r>
              <a:endParaRPr lang="en-US" sz="1800" b="1"/>
            </a:p>
          </xdr:txBody>
        </xdr:sp>
      </mc:Fallback>
    </mc:AlternateContent>
    <xdr:clientData/>
  </xdr:oneCellAnchor>
  <xdr:oneCellAnchor>
    <xdr:from>
      <xdr:col>9</xdr:col>
      <xdr:colOff>0</xdr:colOff>
      <xdr:row>3</xdr:row>
      <xdr:rowOff>12700</xdr:rowOff>
    </xdr:from>
    <xdr:ext cx="2180277" cy="326628"/>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D94940A1-7D75-A446-AF6D-A2C10107C4CF}"/>
                </a:ext>
              </a:extLst>
            </xdr:cNvPr>
            <xdr:cNvSpPr txBox="1"/>
          </xdr:nvSpPr>
          <xdr:spPr>
            <a:xfrm>
              <a:off x="7124700" y="774700"/>
              <a:ext cx="2180277" cy="326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2000" b="1" i="1">
                            <a:latin typeface="Cambria Math" panose="02040503050406030204" pitchFamily="18" charset="0"/>
                          </a:rPr>
                        </m:ctrlPr>
                      </m:sSubPr>
                      <m:e>
                        <m:r>
                          <a:rPr lang="en-US" sz="2000" b="1" i="1">
                            <a:latin typeface="Cambria Math" panose="02040503050406030204" pitchFamily="18" charset="0"/>
                          </a:rPr>
                          <m:t>𝑽</m:t>
                        </m:r>
                      </m:e>
                      <m:sub>
                        <m:r>
                          <a:rPr lang="en-US" sz="2000" b="1" i="1">
                            <a:latin typeface="Cambria Math" panose="02040503050406030204" pitchFamily="18" charset="0"/>
                          </a:rPr>
                          <m:t>𝒕</m:t>
                        </m:r>
                      </m:sub>
                    </m:sSub>
                    <m:r>
                      <a:rPr lang="en-US" sz="2000" b="1" i="1">
                        <a:latin typeface="Cambria Math" panose="02040503050406030204" pitchFamily="18" charset="0"/>
                      </a:rPr>
                      <m:t>=</m:t>
                    </m:r>
                    <m:r>
                      <a:rPr lang="en-US" sz="2000" b="1" i="1">
                        <a:latin typeface="Cambria Math" panose="02040503050406030204" pitchFamily="18" charset="0"/>
                      </a:rPr>
                      <m:t>𝟎</m:t>
                    </m:r>
                    <m:r>
                      <a:rPr lang="en-US" sz="2000" b="1" i="1">
                        <a:latin typeface="Cambria Math" panose="02040503050406030204" pitchFamily="18" charset="0"/>
                      </a:rPr>
                      <m:t>.</m:t>
                    </m:r>
                    <m:r>
                      <a:rPr lang="en-US" sz="2000" b="1" i="1">
                        <a:latin typeface="Cambria Math" panose="02040503050406030204" pitchFamily="18" charset="0"/>
                      </a:rPr>
                      <m:t>𝟑𝟒𝟎𝟗𝟒</m:t>
                    </m:r>
                    <m:sSup>
                      <m:sSupPr>
                        <m:ctrlPr>
                          <a:rPr lang="en-US" sz="2000" b="1" i="1">
                            <a:latin typeface="Cambria Math" panose="02040503050406030204" pitchFamily="18" charset="0"/>
                          </a:rPr>
                        </m:ctrlPr>
                      </m:sSupPr>
                      <m:e>
                        <m:r>
                          <a:rPr lang="en-US" sz="2000" b="1" i="1">
                            <a:latin typeface="Cambria Math" panose="02040503050406030204" pitchFamily="18" charset="0"/>
                          </a:rPr>
                          <m:t>𝑯𝑫</m:t>
                        </m:r>
                      </m:e>
                      <m:sup>
                        <m:r>
                          <a:rPr lang="en-US" sz="2000" b="1" i="1">
                            <a:latin typeface="Cambria Math" panose="02040503050406030204" pitchFamily="18" charset="0"/>
                          </a:rPr>
                          <m:t>𝟐</m:t>
                        </m:r>
                      </m:sup>
                    </m:sSup>
                  </m:oMath>
                </m:oMathPara>
              </a14:m>
              <a:endParaRPr lang="en-US" sz="2000" b="1"/>
            </a:p>
          </xdr:txBody>
        </xdr:sp>
      </mc:Choice>
      <mc:Fallback xmlns="">
        <xdr:sp macro="" textlink="">
          <xdr:nvSpPr>
            <xdr:cNvPr id="4" name="TextBox 3">
              <a:extLst>
                <a:ext uri="{FF2B5EF4-FFF2-40B4-BE49-F238E27FC236}">
                  <a16:creationId xmlns:a16="http://schemas.microsoft.com/office/drawing/2014/main" id="{D94940A1-7D75-A446-AF6D-A2C10107C4CF}"/>
                </a:ext>
              </a:extLst>
            </xdr:cNvPr>
            <xdr:cNvSpPr txBox="1"/>
          </xdr:nvSpPr>
          <xdr:spPr>
            <a:xfrm>
              <a:off x="7124700" y="774700"/>
              <a:ext cx="2180277" cy="326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2000" b="1" i="0">
                  <a:latin typeface="Cambria Math" panose="02040503050406030204" pitchFamily="18" charset="0"/>
                </a:rPr>
                <a:t>𝑽_𝒕=𝟎.𝟑𝟒𝟎𝟗𝟒〖𝑯𝑫〗^𝟐</a:t>
              </a:r>
              <a:endParaRPr lang="en-US" sz="2000" b="1"/>
            </a:p>
          </xdr:txBody>
        </xdr:sp>
      </mc:Fallback>
    </mc:AlternateContent>
    <xdr:clientData/>
  </xdr:oneCellAnchor>
  <xdr:oneCellAnchor>
    <xdr:from>
      <xdr:col>9</xdr:col>
      <xdr:colOff>0</xdr:colOff>
      <xdr:row>7</xdr:row>
      <xdr:rowOff>0</xdr:rowOff>
    </xdr:from>
    <xdr:ext cx="5742406" cy="347403"/>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459E2516-359A-DB4C-A978-AF49EFB26DB5}"/>
                </a:ext>
              </a:extLst>
            </xdr:cNvPr>
            <xdr:cNvSpPr txBox="1"/>
          </xdr:nvSpPr>
          <xdr:spPr>
            <a:xfrm>
              <a:off x="7124700" y="1701800"/>
              <a:ext cx="5742406" cy="347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2000" b="1" i="1">
                        <a:latin typeface="Cambria Math" panose="02040503050406030204" pitchFamily="18" charset="0"/>
                      </a:rPr>
                      <m:t>𝑽</m:t>
                    </m:r>
                    <m:r>
                      <a:rPr lang="en-US" sz="2000" b="1" i="1">
                        <a:latin typeface="Cambria Math" panose="02040503050406030204" pitchFamily="18" charset="0"/>
                      </a:rPr>
                      <m:t>=</m:t>
                    </m:r>
                    <m:r>
                      <a:rPr lang="en-US" sz="2000" b="1" i="1">
                        <a:latin typeface="Cambria Math" panose="02040503050406030204" pitchFamily="18" charset="0"/>
                      </a:rPr>
                      <m:t>𝟎</m:t>
                    </m:r>
                    <m:r>
                      <a:rPr lang="en-US" sz="2000" b="1" i="1">
                        <a:latin typeface="Cambria Math" panose="02040503050406030204" pitchFamily="18" charset="0"/>
                      </a:rPr>
                      <m:t>.</m:t>
                    </m:r>
                    <m:r>
                      <a:rPr lang="en-US" sz="2000" b="1" i="1">
                        <a:latin typeface="Cambria Math" panose="02040503050406030204" pitchFamily="18" charset="0"/>
                      </a:rPr>
                      <m:t>𝟑𝟒𝟎𝟗𝟒</m:t>
                    </m:r>
                    <m:r>
                      <a:rPr lang="en-US" sz="2000" b="1" i="1">
                        <a:latin typeface="Cambria Math" panose="02040503050406030204" pitchFamily="18" charset="0"/>
                      </a:rPr>
                      <m:t>𝑯</m:t>
                    </m:r>
                    <m:sSup>
                      <m:sSupPr>
                        <m:ctrlPr>
                          <a:rPr lang="en-US" sz="2000" b="1" i="1">
                            <a:latin typeface="Cambria Math" panose="02040503050406030204" pitchFamily="18" charset="0"/>
                          </a:rPr>
                        </m:ctrlPr>
                      </m:sSupPr>
                      <m:e>
                        <m:r>
                          <a:rPr lang="en-US" sz="2000" b="1" i="1">
                            <a:latin typeface="Cambria Math" panose="02040503050406030204" pitchFamily="18" charset="0"/>
                          </a:rPr>
                          <m:t>𝑫</m:t>
                        </m:r>
                      </m:e>
                      <m:sup>
                        <m:r>
                          <a:rPr lang="en-US" sz="2000" b="1" i="1">
                            <a:latin typeface="Cambria Math" panose="02040503050406030204" pitchFamily="18" charset="0"/>
                          </a:rPr>
                          <m:t>𝟐</m:t>
                        </m:r>
                      </m:sup>
                    </m:sSup>
                    <m:d>
                      <m:dPr>
                        <m:ctrlPr>
                          <a:rPr lang="en-US" sz="2000" b="1" i="1">
                            <a:latin typeface="Cambria Math" panose="02040503050406030204" pitchFamily="18" charset="0"/>
                          </a:rPr>
                        </m:ctrlPr>
                      </m:dPr>
                      <m:e>
                        <m:r>
                          <a:rPr lang="en-US" sz="2000" b="1" i="1">
                            <a:latin typeface="Cambria Math" panose="02040503050406030204" pitchFamily="18" charset="0"/>
                          </a:rPr>
                          <m:t>𝟏</m:t>
                        </m:r>
                        <m:r>
                          <a:rPr lang="en-US" sz="2000" b="1" i="1">
                            <a:latin typeface="Cambria Math" panose="02040503050406030204" pitchFamily="18" charset="0"/>
                          </a:rPr>
                          <m:t>+</m:t>
                        </m:r>
                        <m:r>
                          <a:rPr lang="en-US" sz="2000" b="1" i="1">
                            <a:latin typeface="Cambria Math" panose="02040503050406030204" pitchFamily="18" charset="0"/>
                          </a:rPr>
                          <m:t>𝟎</m:t>
                        </m:r>
                        <m:r>
                          <a:rPr lang="en-US" sz="2000" b="1" i="1">
                            <a:latin typeface="Cambria Math" panose="02040503050406030204" pitchFamily="18" charset="0"/>
                          </a:rPr>
                          <m:t>.</m:t>
                        </m:r>
                        <m:r>
                          <a:rPr lang="en-US" sz="2000" b="1" i="1">
                            <a:latin typeface="Cambria Math" panose="02040503050406030204" pitchFamily="18" charset="0"/>
                          </a:rPr>
                          <m:t>𝟏𝟗𝟎𝟓𝟓𝟕</m:t>
                        </m:r>
                        <m:sSup>
                          <m:sSupPr>
                            <m:ctrlPr>
                              <a:rPr lang="en-US" sz="2000" b="1" i="1">
                                <a:latin typeface="Cambria Math" panose="02040503050406030204" pitchFamily="18" charset="0"/>
                              </a:rPr>
                            </m:ctrlPr>
                          </m:sSupPr>
                          <m:e>
                            <m:d>
                              <m:dPr>
                                <m:ctrlPr>
                                  <a:rPr lang="en-US" sz="2000" b="1" i="1">
                                    <a:latin typeface="Cambria Math" panose="02040503050406030204" pitchFamily="18" charset="0"/>
                                  </a:rPr>
                                </m:ctrlPr>
                              </m:dPr>
                              <m:e>
                                <m:r>
                                  <a:rPr lang="en-US" sz="2000" b="1" i="1">
                                    <a:latin typeface="Cambria Math" panose="02040503050406030204" pitchFamily="18" charset="0"/>
                                  </a:rPr>
                                  <m:t>𝟏𝟐</m:t>
                                </m:r>
                                <m:r>
                                  <a:rPr lang="en-US" sz="2000" b="1" i="1">
                                    <a:latin typeface="Cambria Math" panose="02040503050406030204" pitchFamily="18" charset="0"/>
                                  </a:rPr>
                                  <m:t>𝑫</m:t>
                                </m:r>
                              </m:e>
                            </m:d>
                          </m:e>
                          <m:sup>
                            <m:r>
                              <a:rPr lang="en-US" sz="2000" b="1" i="1">
                                <a:latin typeface="Cambria Math" panose="02040503050406030204" pitchFamily="18" charset="0"/>
                              </a:rPr>
                              <m:t>−</m:t>
                            </m:r>
                            <m:r>
                              <a:rPr lang="en-US" sz="2000" b="1" i="1">
                                <a:latin typeface="Cambria Math" panose="02040503050406030204" pitchFamily="18" charset="0"/>
                              </a:rPr>
                              <m:t>𝟎</m:t>
                            </m:r>
                            <m:r>
                              <a:rPr lang="en-US" sz="2000" b="1" i="1">
                                <a:latin typeface="Cambria Math" panose="02040503050406030204" pitchFamily="18" charset="0"/>
                              </a:rPr>
                              <m:t>.</m:t>
                            </m:r>
                            <m:r>
                              <a:rPr lang="en-US" sz="2000" b="1" i="1">
                                <a:latin typeface="Cambria Math" panose="02040503050406030204" pitchFamily="18" charset="0"/>
                              </a:rPr>
                              <m:t>𝟎𝟓𝟓𝟏𝟎𝟒𝟏</m:t>
                            </m:r>
                          </m:sup>
                        </m:sSup>
                      </m:e>
                    </m:d>
                  </m:oMath>
                </m:oMathPara>
              </a14:m>
              <a:endParaRPr lang="en-US" sz="2000" b="1"/>
            </a:p>
          </xdr:txBody>
        </xdr:sp>
      </mc:Choice>
      <mc:Fallback xmlns="">
        <xdr:sp macro="" textlink="">
          <xdr:nvSpPr>
            <xdr:cNvPr id="5" name="TextBox 4">
              <a:extLst>
                <a:ext uri="{FF2B5EF4-FFF2-40B4-BE49-F238E27FC236}">
                  <a16:creationId xmlns:a16="http://schemas.microsoft.com/office/drawing/2014/main" id="{459E2516-359A-DB4C-A978-AF49EFB26DB5}"/>
                </a:ext>
              </a:extLst>
            </xdr:cNvPr>
            <xdr:cNvSpPr txBox="1"/>
          </xdr:nvSpPr>
          <xdr:spPr>
            <a:xfrm>
              <a:off x="7124700" y="1701800"/>
              <a:ext cx="5742406" cy="347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2000" b="1" i="0">
                  <a:latin typeface="Cambria Math" panose="02040503050406030204" pitchFamily="18" charset="0"/>
                </a:rPr>
                <a:t>𝑽=𝟎.𝟑𝟒𝟎𝟗𝟒𝑯𝑫^𝟐 (𝟏+𝟎.𝟏𝟗𝟎𝟓𝟓𝟕(𝟏𝟐𝑫)^(−𝟎.𝟎𝟓𝟓𝟏𝟎𝟒𝟏) )</a:t>
              </a:r>
              <a:endParaRPr lang="en-US" sz="2000" b="1"/>
            </a:p>
          </xdr:txBody>
        </xdr:sp>
      </mc:Fallback>
    </mc:AlternateContent>
    <xdr:clientData/>
  </xdr:oneCellAnchor>
  <xdr:twoCellAnchor>
    <xdr:from>
      <xdr:col>9</xdr:col>
      <xdr:colOff>76200</xdr:colOff>
      <xdr:row>10</xdr:row>
      <xdr:rowOff>0</xdr:rowOff>
    </xdr:from>
    <xdr:to>
      <xdr:col>16</xdr:col>
      <xdr:colOff>546100</xdr:colOff>
      <xdr:row>24</xdr:row>
      <xdr:rowOff>101600</xdr:rowOff>
    </xdr:to>
    <xdr:sp macro="" textlink="">
      <xdr:nvSpPr>
        <xdr:cNvPr id="6" name="TextBox 5">
          <a:extLst>
            <a:ext uri="{FF2B5EF4-FFF2-40B4-BE49-F238E27FC236}">
              <a16:creationId xmlns:a16="http://schemas.microsoft.com/office/drawing/2014/main" id="{63735CE9-FADC-A643-B14F-DBA9CD50B280}"/>
            </a:ext>
          </a:extLst>
        </xdr:cNvPr>
        <xdr:cNvSpPr txBox="1"/>
      </xdr:nvSpPr>
      <xdr:spPr>
        <a:xfrm>
          <a:off x="7505700" y="2197100"/>
          <a:ext cx="6248400" cy="294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V</a:t>
          </a:r>
          <a:r>
            <a:rPr lang="en-US" sz="1100"/>
            <a:t>t</a:t>
          </a:r>
          <a:r>
            <a:rPr lang="en-US" sz="1600"/>
            <a:t> = volume of trunk </a:t>
          </a:r>
        </a:p>
        <a:p>
          <a:r>
            <a:rPr lang="en-US" sz="2000"/>
            <a:t>V</a:t>
          </a:r>
          <a:r>
            <a:rPr lang="en-US" sz="1100"/>
            <a:t>l </a:t>
          </a:r>
          <a:r>
            <a:rPr lang="en-US" sz="1600"/>
            <a:t>= volume factor for limbs, branches, etc.  (pct trunk vol)</a:t>
          </a:r>
        </a:p>
        <a:p>
          <a:r>
            <a:rPr lang="en-US" sz="1600"/>
            <a:t>V = total above ground volume = </a:t>
          </a:r>
          <a:r>
            <a:rPr lang="en-US" sz="2000"/>
            <a:t>V</a:t>
          </a:r>
          <a:r>
            <a:rPr lang="en-US" sz="1100"/>
            <a:t>t</a:t>
          </a:r>
          <a:r>
            <a:rPr lang="en-US" sz="1600"/>
            <a:t> + </a:t>
          </a:r>
          <a:r>
            <a:rPr lang="en-US" sz="2000"/>
            <a:t>V</a:t>
          </a:r>
          <a:r>
            <a:rPr lang="en-US" sz="1100"/>
            <a:t>l</a:t>
          </a:r>
        </a:p>
        <a:p>
          <a:r>
            <a:rPr lang="en-US" sz="1600"/>
            <a:t>D = diameter in feet</a:t>
          </a:r>
        </a:p>
        <a:p>
          <a:r>
            <a:rPr lang="en-US" sz="1600"/>
            <a:t>H = full height of tree in feet</a:t>
          </a:r>
        </a:p>
        <a:p>
          <a:r>
            <a:rPr lang="en-US" sz="1600"/>
            <a:t>F = trunk form factor</a:t>
          </a:r>
        </a:p>
        <a:p>
          <a:r>
            <a:rPr lang="en-US" sz="1600"/>
            <a:t>f</a:t>
          </a:r>
          <a:r>
            <a:rPr lang="en-US" sz="1100"/>
            <a:t>0</a:t>
          </a:r>
          <a:r>
            <a:rPr lang="en-US" sz="1600"/>
            <a:t> = composite</a:t>
          </a:r>
          <a:r>
            <a:rPr lang="en-US" sz="1600" baseline="0"/>
            <a:t> factor = F*π/4</a:t>
          </a:r>
        </a:p>
        <a:p>
          <a:r>
            <a:rPr lang="en-US" sz="1600"/>
            <a:t>diameter and height are in feet or meters. </a:t>
          </a:r>
        </a:p>
        <a:p>
          <a:r>
            <a:rPr lang="en-US" sz="1600"/>
            <a:t>volume is in cubic feet or meters</a:t>
          </a:r>
        </a:p>
      </xdr:txBody>
    </xdr:sp>
    <xdr:clientData/>
  </xdr:twoCellAnchor>
  <xdr:oneCellAnchor>
    <xdr:from>
      <xdr:col>9</xdr:col>
      <xdr:colOff>749300</xdr:colOff>
      <xdr:row>33</xdr:row>
      <xdr:rowOff>228600</xdr:rowOff>
    </xdr:from>
    <xdr:ext cx="976678" cy="331309"/>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2F8FA5C1-B156-B448-B317-61FF0788EE9C}"/>
                </a:ext>
              </a:extLst>
            </xdr:cNvPr>
            <xdr:cNvSpPr txBox="1"/>
          </xdr:nvSpPr>
          <xdr:spPr>
            <a:xfrm>
              <a:off x="7874000" y="7391400"/>
              <a:ext cx="976678" cy="3313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2000" b="1" i="1">
                        <a:latin typeface="Cambria Math" panose="02040503050406030204" pitchFamily="18" charset="0"/>
                      </a:rPr>
                      <m:t>𝒚</m:t>
                    </m:r>
                    <m:r>
                      <a:rPr lang="en-US" sz="2000" b="1" i="1">
                        <a:latin typeface="Cambria Math" panose="02040503050406030204" pitchFamily="18" charset="0"/>
                      </a:rPr>
                      <m:t>=</m:t>
                    </m:r>
                    <m:r>
                      <a:rPr lang="en-US" sz="2000" b="1" i="1">
                        <a:latin typeface="Cambria Math" panose="02040503050406030204" pitchFamily="18" charset="0"/>
                      </a:rPr>
                      <m:t>𝒂</m:t>
                    </m:r>
                    <m:sSup>
                      <m:sSupPr>
                        <m:ctrlPr>
                          <a:rPr lang="en-US" sz="2000" b="1" i="1">
                            <a:latin typeface="Cambria Math" panose="02040503050406030204" pitchFamily="18" charset="0"/>
                          </a:rPr>
                        </m:ctrlPr>
                      </m:sSupPr>
                      <m:e>
                        <m:r>
                          <a:rPr lang="en-US" sz="2000" b="1" i="1">
                            <a:latin typeface="Cambria Math" panose="02040503050406030204" pitchFamily="18" charset="0"/>
                          </a:rPr>
                          <m:t>𝒙</m:t>
                        </m:r>
                      </m:e>
                      <m:sup>
                        <m:r>
                          <a:rPr lang="en-US" sz="2000" b="1" i="1">
                            <a:latin typeface="Cambria Math" panose="02040503050406030204" pitchFamily="18" charset="0"/>
                          </a:rPr>
                          <m:t>𝒃</m:t>
                        </m:r>
                      </m:sup>
                    </m:sSup>
                  </m:oMath>
                </m:oMathPara>
              </a14:m>
              <a:endParaRPr lang="en-US" sz="2000" b="1"/>
            </a:p>
          </xdr:txBody>
        </xdr:sp>
      </mc:Choice>
      <mc:Fallback xmlns="">
        <xdr:sp macro="" textlink="">
          <xdr:nvSpPr>
            <xdr:cNvPr id="7" name="TextBox 6">
              <a:extLst>
                <a:ext uri="{FF2B5EF4-FFF2-40B4-BE49-F238E27FC236}">
                  <a16:creationId xmlns:a16="http://schemas.microsoft.com/office/drawing/2014/main" id="{2F8FA5C1-B156-B448-B317-61FF0788EE9C}"/>
                </a:ext>
              </a:extLst>
            </xdr:cNvPr>
            <xdr:cNvSpPr txBox="1"/>
          </xdr:nvSpPr>
          <xdr:spPr>
            <a:xfrm>
              <a:off x="7874000" y="7391400"/>
              <a:ext cx="976678" cy="3313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2000" b="1" i="0">
                  <a:latin typeface="Cambria Math" panose="02040503050406030204" pitchFamily="18" charset="0"/>
                </a:rPr>
                <a:t>𝒚=𝒂𝒙^𝒃</a:t>
              </a:r>
              <a:endParaRPr lang="en-US" sz="2000" b="1"/>
            </a:p>
          </xdr:txBody>
        </xdr:sp>
      </mc:Fallback>
    </mc:AlternateContent>
    <xdr:clientData/>
  </xdr:oneCellAnchor>
  <xdr:oneCellAnchor>
    <xdr:from>
      <xdr:col>9</xdr:col>
      <xdr:colOff>596900</xdr:colOff>
      <xdr:row>28</xdr:row>
      <xdr:rowOff>127000</xdr:rowOff>
    </xdr:from>
    <xdr:ext cx="3052567" cy="347403"/>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88E64F6D-21A5-AE4A-BFE3-37497CDD168A}"/>
                </a:ext>
              </a:extLst>
            </xdr:cNvPr>
            <xdr:cNvSpPr txBox="1"/>
          </xdr:nvSpPr>
          <xdr:spPr>
            <a:xfrm>
              <a:off x="7721600" y="6184900"/>
              <a:ext cx="3052567" cy="347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2000" b="1" i="1">
                        <a:latin typeface="Cambria Math" panose="02040503050406030204" pitchFamily="18" charset="0"/>
                      </a:rPr>
                      <m:t>𝒍𝒏</m:t>
                    </m:r>
                    <m:d>
                      <m:dPr>
                        <m:ctrlPr>
                          <a:rPr lang="en-US" sz="2000" b="1" i="1">
                            <a:latin typeface="Cambria Math" panose="02040503050406030204" pitchFamily="18" charset="0"/>
                          </a:rPr>
                        </m:ctrlPr>
                      </m:dPr>
                      <m:e>
                        <m:r>
                          <a:rPr lang="en-US" sz="2000" b="1" i="1">
                            <a:latin typeface="Cambria Math" panose="02040503050406030204" pitchFamily="18" charset="0"/>
                          </a:rPr>
                          <m:t>𝒚</m:t>
                        </m:r>
                      </m:e>
                    </m:d>
                    <m:r>
                      <a:rPr lang="en-US" sz="2000" b="1" i="1">
                        <a:latin typeface="Cambria Math" panose="02040503050406030204" pitchFamily="18" charset="0"/>
                      </a:rPr>
                      <m:t>=</m:t>
                    </m:r>
                    <m:r>
                      <a:rPr lang="en-US" sz="2000" b="1" i="1">
                        <a:latin typeface="Cambria Math" panose="02040503050406030204" pitchFamily="18" charset="0"/>
                      </a:rPr>
                      <m:t>𝒍𝒏</m:t>
                    </m:r>
                    <m:d>
                      <m:dPr>
                        <m:ctrlPr>
                          <a:rPr lang="en-US" sz="2000" b="1" i="1">
                            <a:latin typeface="Cambria Math" panose="02040503050406030204" pitchFamily="18" charset="0"/>
                          </a:rPr>
                        </m:ctrlPr>
                      </m:dPr>
                      <m:e>
                        <m:r>
                          <a:rPr lang="en-US" sz="2000" b="1" i="1">
                            <a:latin typeface="Cambria Math" panose="02040503050406030204" pitchFamily="18" charset="0"/>
                          </a:rPr>
                          <m:t>𝒂</m:t>
                        </m:r>
                      </m:e>
                    </m:d>
                    <m:r>
                      <a:rPr lang="en-US" sz="2000" b="1" i="1">
                        <a:latin typeface="Cambria Math" panose="02040503050406030204" pitchFamily="18" charset="0"/>
                      </a:rPr>
                      <m:t>+</m:t>
                    </m:r>
                    <m:r>
                      <a:rPr lang="en-US" sz="2000" b="1" i="0">
                        <a:latin typeface="Cambria Math" panose="02040503050406030204" pitchFamily="18" charset="0"/>
                      </a:rPr>
                      <m:t>𝐛</m:t>
                    </m:r>
                    <m:d>
                      <m:dPr>
                        <m:ctrlPr>
                          <a:rPr lang="en-US" sz="2000" b="1" i="1">
                            <a:latin typeface="Cambria Math" panose="02040503050406030204" pitchFamily="18" charset="0"/>
                          </a:rPr>
                        </m:ctrlPr>
                      </m:dPr>
                      <m:e>
                        <m:r>
                          <a:rPr lang="en-US" sz="2000" b="1" i="1">
                            <a:latin typeface="Cambria Math" panose="02040503050406030204" pitchFamily="18" charset="0"/>
                          </a:rPr>
                          <m:t>𝒍𝒏</m:t>
                        </m:r>
                        <m:d>
                          <m:dPr>
                            <m:ctrlPr>
                              <a:rPr lang="en-US" sz="2000" b="1" i="1">
                                <a:latin typeface="Cambria Math" panose="02040503050406030204" pitchFamily="18" charset="0"/>
                              </a:rPr>
                            </m:ctrlPr>
                          </m:dPr>
                          <m:e>
                            <m:r>
                              <a:rPr lang="en-US" sz="2000" b="1" i="1">
                                <a:latin typeface="Cambria Math" panose="02040503050406030204" pitchFamily="18" charset="0"/>
                              </a:rPr>
                              <m:t>𝒙</m:t>
                            </m:r>
                          </m:e>
                        </m:d>
                      </m:e>
                    </m:d>
                  </m:oMath>
                </m:oMathPara>
              </a14:m>
              <a:endParaRPr lang="en-US" sz="2000" b="1"/>
            </a:p>
          </xdr:txBody>
        </xdr:sp>
      </mc:Choice>
      <mc:Fallback xmlns="">
        <xdr:sp macro="" textlink="">
          <xdr:nvSpPr>
            <xdr:cNvPr id="8" name="TextBox 7">
              <a:extLst>
                <a:ext uri="{FF2B5EF4-FFF2-40B4-BE49-F238E27FC236}">
                  <a16:creationId xmlns:a16="http://schemas.microsoft.com/office/drawing/2014/main" id="{88E64F6D-21A5-AE4A-BFE3-37497CDD168A}"/>
                </a:ext>
              </a:extLst>
            </xdr:cNvPr>
            <xdr:cNvSpPr txBox="1"/>
          </xdr:nvSpPr>
          <xdr:spPr>
            <a:xfrm>
              <a:off x="7721600" y="6184900"/>
              <a:ext cx="3052567" cy="347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2000" b="1" i="0">
                  <a:latin typeface="Cambria Math" panose="02040503050406030204" pitchFamily="18" charset="0"/>
                </a:rPr>
                <a:t>𝒍𝒏(𝒚)=𝒍𝒏(𝒂)+𝐛(𝒍𝒏(𝒙))</a:t>
              </a:r>
              <a:endParaRPr lang="en-US" sz="2000" b="1"/>
            </a:p>
          </xdr:txBody>
        </xdr:sp>
      </mc:Fallback>
    </mc:AlternateContent>
    <xdr:clientData/>
  </xdr:oneCellAnchor>
  <xdr:oneCellAnchor>
    <xdr:from>
      <xdr:col>9</xdr:col>
      <xdr:colOff>787400</xdr:colOff>
      <xdr:row>35</xdr:row>
      <xdr:rowOff>38100</xdr:rowOff>
    </xdr:from>
    <xdr:ext cx="1548309" cy="28180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9D1E5A30-3B89-B141-A223-FE8D359589BD}"/>
                </a:ext>
              </a:extLst>
            </xdr:cNvPr>
            <xdr:cNvSpPr txBox="1"/>
          </xdr:nvSpPr>
          <xdr:spPr>
            <a:xfrm>
              <a:off x="7912100" y="7747000"/>
              <a:ext cx="1548309" cy="281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800" b="1" i="1">
                        <a:latin typeface="Cambria Math" panose="02040503050406030204" pitchFamily="18" charset="0"/>
                      </a:rPr>
                      <m:t>𝒂</m:t>
                    </m:r>
                    <m:r>
                      <a:rPr lang="en-US" sz="1800" b="1" i="1">
                        <a:latin typeface="Cambria Math" panose="02040503050406030204" pitchFamily="18" charset="0"/>
                      </a:rPr>
                      <m:t>=</m:t>
                    </m:r>
                    <m:r>
                      <a:rPr lang="en-US" sz="1800" b="1" i="1">
                        <a:latin typeface="Cambria Math" panose="02040503050406030204" pitchFamily="18" charset="0"/>
                      </a:rPr>
                      <m:t>𝟎</m:t>
                    </m:r>
                    <m:r>
                      <a:rPr lang="en-US" sz="1800" b="1" i="1">
                        <a:latin typeface="Cambria Math" panose="02040503050406030204" pitchFamily="18" charset="0"/>
                      </a:rPr>
                      <m:t>.</m:t>
                    </m:r>
                    <m:r>
                      <a:rPr lang="en-US" sz="1800" b="1" i="1">
                        <a:latin typeface="Cambria Math" panose="02040503050406030204" pitchFamily="18" charset="0"/>
                      </a:rPr>
                      <m:t>𝟏𝟗𝟎𝟓𝟓𝟕</m:t>
                    </m:r>
                  </m:oMath>
                </m:oMathPara>
              </a14:m>
              <a:endParaRPr lang="en-US" sz="1800" b="1"/>
            </a:p>
          </xdr:txBody>
        </xdr:sp>
      </mc:Choice>
      <mc:Fallback xmlns="">
        <xdr:sp macro="" textlink="">
          <xdr:nvSpPr>
            <xdr:cNvPr id="9" name="TextBox 8">
              <a:extLst>
                <a:ext uri="{FF2B5EF4-FFF2-40B4-BE49-F238E27FC236}">
                  <a16:creationId xmlns:a16="http://schemas.microsoft.com/office/drawing/2014/main" id="{9D1E5A30-3B89-B141-A223-FE8D359589BD}"/>
                </a:ext>
              </a:extLst>
            </xdr:cNvPr>
            <xdr:cNvSpPr txBox="1"/>
          </xdr:nvSpPr>
          <xdr:spPr>
            <a:xfrm>
              <a:off x="7912100" y="7747000"/>
              <a:ext cx="1548309" cy="281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800" b="1" i="0">
                  <a:latin typeface="Cambria Math" panose="02040503050406030204" pitchFamily="18" charset="0"/>
                </a:rPr>
                <a:t>𝒂=𝟎.𝟏𝟗𝟎𝟓𝟓𝟕</a:t>
              </a:r>
              <a:endParaRPr lang="en-US" sz="1800" b="1"/>
            </a:p>
          </xdr:txBody>
        </xdr:sp>
      </mc:Fallback>
    </mc:AlternateContent>
    <xdr:clientData/>
  </xdr:oneCellAnchor>
  <xdr:oneCellAnchor>
    <xdr:from>
      <xdr:col>9</xdr:col>
      <xdr:colOff>749300</xdr:colOff>
      <xdr:row>37</xdr:row>
      <xdr:rowOff>38100</xdr:rowOff>
    </xdr:from>
    <xdr:ext cx="1855508" cy="28180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68728A6C-BB8F-884D-986C-92A0B7920673}"/>
                </a:ext>
              </a:extLst>
            </xdr:cNvPr>
            <xdr:cNvSpPr txBox="1"/>
          </xdr:nvSpPr>
          <xdr:spPr>
            <a:xfrm>
              <a:off x="7874000" y="8216900"/>
              <a:ext cx="1855508" cy="281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800" b="1" i="1">
                        <a:latin typeface="Cambria Math" panose="02040503050406030204" pitchFamily="18" charset="0"/>
                      </a:rPr>
                      <m:t>𝒃</m:t>
                    </m:r>
                    <m:r>
                      <a:rPr lang="en-US" sz="1800" b="1" i="1">
                        <a:latin typeface="Cambria Math" panose="02040503050406030204" pitchFamily="18" charset="0"/>
                      </a:rPr>
                      <m:t>=−</m:t>
                    </m:r>
                    <m:r>
                      <a:rPr lang="en-US" sz="1800" b="1" i="1">
                        <a:latin typeface="Cambria Math" panose="02040503050406030204" pitchFamily="18" charset="0"/>
                      </a:rPr>
                      <m:t>𝟎</m:t>
                    </m:r>
                    <m:r>
                      <a:rPr lang="en-US" sz="1800" b="1" i="1">
                        <a:latin typeface="Cambria Math" panose="02040503050406030204" pitchFamily="18" charset="0"/>
                      </a:rPr>
                      <m:t>.</m:t>
                    </m:r>
                    <m:r>
                      <a:rPr lang="en-US" sz="1800" b="1" i="1">
                        <a:latin typeface="Cambria Math" panose="02040503050406030204" pitchFamily="18" charset="0"/>
                      </a:rPr>
                      <m:t>𝟎𝟓𝟓𝟏𝟎𝟒𝟏</m:t>
                    </m:r>
                  </m:oMath>
                </m:oMathPara>
              </a14:m>
              <a:endParaRPr lang="en-US" sz="1800" b="1"/>
            </a:p>
          </xdr:txBody>
        </xdr:sp>
      </mc:Choice>
      <mc:Fallback xmlns="">
        <xdr:sp macro="" textlink="">
          <xdr:nvSpPr>
            <xdr:cNvPr id="10" name="TextBox 9">
              <a:extLst>
                <a:ext uri="{FF2B5EF4-FFF2-40B4-BE49-F238E27FC236}">
                  <a16:creationId xmlns:a16="http://schemas.microsoft.com/office/drawing/2014/main" id="{68728A6C-BB8F-884D-986C-92A0B7920673}"/>
                </a:ext>
              </a:extLst>
            </xdr:cNvPr>
            <xdr:cNvSpPr txBox="1"/>
          </xdr:nvSpPr>
          <xdr:spPr>
            <a:xfrm>
              <a:off x="7874000" y="8216900"/>
              <a:ext cx="1855508" cy="281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800" b="1" i="0">
                  <a:latin typeface="Cambria Math" panose="02040503050406030204" pitchFamily="18" charset="0"/>
                </a:rPr>
                <a:t>𝒃=−𝟎.𝟎𝟓𝟓𝟏𝟎𝟒𝟏</a:t>
              </a:r>
              <a:endParaRPr lang="en-US" sz="1800" b="1"/>
            </a:p>
          </xdr:txBody>
        </xdr:sp>
      </mc:Fallback>
    </mc:AlternateContent>
    <xdr:clientData/>
  </xdr:oneCellAnchor>
  <xdr:oneCellAnchor>
    <xdr:from>
      <xdr:col>9</xdr:col>
      <xdr:colOff>736600</xdr:colOff>
      <xdr:row>25</xdr:row>
      <xdr:rowOff>0</xdr:rowOff>
    </xdr:from>
    <xdr:ext cx="833113" cy="422039"/>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EC649B47-C412-AB48-B03F-C39851E8406F}"/>
                </a:ext>
              </a:extLst>
            </xdr:cNvPr>
            <xdr:cNvSpPr txBox="1"/>
          </xdr:nvSpPr>
          <xdr:spPr>
            <a:xfrm>
              <a:off x="7861300" y="5435600"/>
              <a:ext cx="833113" cy="4220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600" b="1" i="1">
                            <a:latin typeface="Cambria Math" panose="02040503050406030204" pitchFamily="18" charset="0"/>
                          </a:rPr>
                        </m:ctrlPr>
                      </m:sSubPr>
                      <m:e>
                        <m:r>
                          <a:rPr lang="en-US" sz="1600" b="1" i="1">
                            <a:latin typeface="Cambria Math" panose="02040503050406030204" pitchFamily="18" charset="0"/>
                          </a:rPr>
                          <m:t>𝒇</m:t>
                        </m:r>
                      </m:e>
                      <m:sub>
                        <m:r>
                          <a:rPr lang="en-US" sz="1600" b="1" i="1">
                            <a:latin typeface="Cambria Math" panose="02040503050406030204" pitchFamily="18" charset="0"/>
                          </a:rPr>
                          <m:t>𝟎</m:t>
                        </m:r>
                      </m:sub>
                    </m:sSub>
                    <m:r>
                      <a:rPr lang="en-US" sz="1600" b="1" i="1">
                        <a:latin typeface="Cambria Math" panose="02040503050406030204" pitchFamily="18" charset="0"/>
                      </a:rPr>
                      <m:t>=</m:t>
                    </m:r>
                    <m:r>
                      <a:rPr lang="en-US" sz="1600" b="1" i="1">
                        <a:latin typeface="Cambria Math" panose="02040503050406030204" pitchFamily="18" charset="0"/>
                      </a:rPr>
                      <m:t>𝑭</m:t>
                    </m:r>
                    <m:f>
                      <m:fPr>
                        <m:ctrlPr>
                          <a:rPr lang="en-US" sz="1600" b="1" i="1">
                            <a:latin typeface="Cambria Math" panose="02040503050406030204" pitchFamily="18" charset="0"/>
                          </a:rPr>
                        </m:ctrlPr>
                      </m:fPr>
                      <m:num>
                        <m:r>
                          <a:rPr lang="en-US" sz="1600" b="1" i="1">
                            <a:latin typeface="Cambria Math" panose="02040503050406030204" pitchFamily="18" charset="0"/>
                            <a:ea typeface="Cambria Math" panose="02040503050406030204" pitchFamily="18" charset="0"/>
                          </a:rPr>
                          <m:t>𝝅</m:t>
                        </m:r>
                      </m:num>
                      <m:den>
                        <m:r>
                          <a:rPr lang="en-US" sz="1600" b="1" i="1">
                            <a:latin typeface="Cambria Math" panose="02040503050406030204" pitchFamily="18" charset="0"/>
                          </a:rPr>
                          <m:t>𝟒</m:t>
                        </m:r>
                      </m:den>
                    </m:f>
                  </m:oMath>
                </m:oMathPara>
              </a14:m>
              <a:endParaRPr lang="en-US" sz="1600" b="1"/>
            </a:p>
          </xdr:txBody>
        </xdr:sp>
      </mc:Choice>
      <mc:Fallback xmlns="">
        <xdr:sp macro="" textlink="">
          <xdr:nvSpPr>
            <xdr:cNvPr id="11" name="TextBox 10">
              <a:extLst>
                <a:ext uri="{FF2B5EF4-FFF2-40B4-BE49-F238E27FC236}">
                  <a16:creationId xmlns:a16="http://schemas.microsoft.com/office/drawing/2014/main" id="{EC649B47-C412-AB48-B03F-C39851E8406F}"/>
                </a:ext>
              </a:extLst>
            </xdr:cNvPr>
            <xdr:cNvSpPr txBox="1"/>
          </xdr:nvSpPr>
          <xdr:spPr>
            <a:xfrm>
              <a:off x="7861300" y="5435600"/>
              <a:ext cx="833113" cy="4220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600" b="1" i="0">
                  <a:latin typeface="Cambria Math" panose="02040503050406030204" pitchFamily="18" charset="0"/>
                </a:rPr>
                <a:t>𝒇_𝟎=𝑭</a:t>
              </a:r>
              <a:r>
                <a:rPr lang="en-US" sz="1600" b="1" i="0">
                  <a:latin typeface="Cambria Math" panose="02040503050406030204" pitchFamily="18" charset="0"/>
                  <a:ea typeface="Cambria Math" panose="02040503050406030204" pitchFamily="18" charset="0"/>
                </a:rPr>
                <a:t> 𝝅/</a:t>
              </a:r>
              <a:r>
                <a:rPr lang="en-US" sz="1600" b="1" i="0">
                  <a:latin typeface="Cambria Math" panose="02040503050406030204" pitchFamily="18" charset="0"/>
                </a:rPr>
                <a:t>𝟒</a:t>
              </a:r>
              <a:endParaRPr lang="en-US" sz="1600" b="1"/>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0210B-8E30-D147-A312-0E87CC048AF2}">
  <dimension ref="A1:P42"/>
  <sheetViews>
    <sheetView tabSelected="1" workbookViewId="0">
      <selection activeCell="P8" sqref="P8"/>
    </sheetView>
  </sheetViews>
  <sheetFormatPr baseColWidth="10" defaultRowHeight="16"/>
  <cols>
    <col min="2" max="2" width="25" customWidth="1"/>
    <col min="3" max="4" width="2.6640625" customWidth="1"/>
    <col min="5" max="5" width="3.83203125" customWidth="1"/>
    <col min="6" max="6" width="4" customWidth="1"/>
    <col min="7" max="7" width="15.6640625" bestFit="1" customWidth="1"/>
    <col min="8" max="8" width="13.83203125" customWidth="1"/>
    <col min="9" max="9" width="16.83203125" customWidth="1"/>
    <col min="10" max="10" width="14" customWidth="1"/>
    <col min="11" max="11" width="28.5" customWidth="1"/>
    <col min="12" max="12" width="25.5" customWidth="1"/>
    <col min="13" max="13" width="15.33203125" customWidth="1"/>
    <col min="14" max="14" width="20.83203125" customWidth="1"/>
    <col min="15" max="15" width="25.83203125" customWidth="1"/>
    <col min="16" max="16" width="15.33203125" customWidth="1"/>
    <col min="17" max="17" width="5.33203125" customWidth="1"/>
  </cols>
  <sheetData>
    <row r="1" spans="1:16" ht="45" thickBot="1">
      <c r="A1" s="82" t="s">
        <v>135</v>
      </c>
      <c r="G1" s="141" t="s">
        <v>20</v>
      </c>
      <c r="H1" s="143" t="s">
        <v>134</v>
      </c>
      <c r="I1" s="144" t="s">
        <v>21</v>
      </c>
      <c r="J1" s="143" t="s">
        <v>13</v>
      </c>
      <c r="K1" s="145" t="s">
        <v>14</v>
      </c>
      <c r="L1" s="145" t="s">
        <v>15</v>
      </c>
      <c r="M1" s="145" t="s">
        <v>16</v>
      </c>
      <c r="N1" s="145" t="s">
        <v>17</v>
      </c>
      <c r="O1" s="145" t="s">
        <v>18</v>
      </c>
      <c r="P1" s="148" t="s">
        <v>19</v>
      </c>
    </row>
    <row r="2" spans="1:16" s="21" customFormat="1" ht="18" customHeight="1" thickBot="1">
      <c r="A2" s="78">
        <v>129</v>
      </c>
      <c r="B2" s="79" t="s">
        <v>1</v>
      </c>
      <c r="C2" s="79" t="s">
        <v>2</v>
      </c>
      <c r="D2" s="79" t="s">
        <v>3</v>
      </c>
      <c r="E2" s="79"/>
      <c r="F2" s="80"/>
      <c r="G2" s="151">
        <f>foVSF!A25</f>
        <v>38</v>
      </c>
      <c r="H2" s="150">
        <f>foVSF!B25</f>
        <v>104</v>
      </c>
      <c r="I2" s="142">
        <f>Coeff_2!H2*((G2^2)*H2)</f>
        <v>292.69302399999998</v>
      </c>
      <c r="J2" s="140">
        <v>0</v>
      </c>
      <c r="K2" s="132">
        <f t="shared" ref="K2" si="0">I2*(1-(J2/100))</f>
        <v>292.69302399999998</v>
      </c>
      <c r="L2" s="132">
        <f>(K2*(Coeff_1!BH2/100)*(Coeff_1!AZ2*62.4))+(K2*Coeff_1!AX2*62.4)</f>
        <v>7583.2313584435196</v>
      </c>
      <c r="M2" s="147">
        <f>Coeff_2!X2*Coeff_2!Y2</f>
        <v>1205.3436117322383</v>
      </c>
      <c r="N2" s="147">
        <f>Coeff_2!W2*Coeff_2!Y2</f>
        <v>212.40718869909895</v>
      </c>
      <c r="O2" s="147">
        <f t="shared" ref="O2" si="1">L2+M2+N2</f>
        <v>9000.9821588748564</v>
      </c>
      <c r="P2" s="149">
        <f>K7/((G2/12)^2/4*PI()*H2)</f>
        <v>0.42904338539726988</v>
      </c>
    </row>
    <row r="3" spans="1:16" ht="22" thickBot="1">
      <c r="B3" s="84" t="s">
        <v>175</v>
      </c>
      <c r="I3" s="132">
        <f>Coeff_2!N2/(Coeff_1!AX2*62.4)</f>
        <v>377.91502398972699</v>
      </c>
      <c r="J3" s="131"/>
      <c r="K3" s="131"/>
      <c r="L3" s="132">
        <f>Coeff_2!P2</f>
        <v>9457.2525350064552</v>
      </c>
      <c r="M3" s="132">
        <f>Coeff_2!X2</f>
        <v>1503.2165562133496</v>
      </c>
      <c r="N3" s="132">
        <f>Coeff_2!W2</f>
        <v>264.89873891839926</v>
      </c>
      <c r="O3" s="132">
        <f>L3+M3+N3</f>
        <v>11225.367830138204</v>
      </c>
      <c r="P3" s="146">
        <f>Coeff_2!M2</f>
        <v>11870.729554544028</v>
      </c>
    </row>
    <row r="4" spans="1:16" ht="21" thickBot="1">
      <c r="I4" s="91" t="s">
        <v>22</v>
      </c>
      <c r="J4" s="91"/>
      <c r="K4" s="91">
        <f>Coeff_1!BH2/100*K2</f>
        <v>46.830883839999998</v>
      </c>
      <c r="O4" s="133" t="s">
        <v>176</v>
      </c>
      <c r="P4" s="133" t="s">
        <v>177</v>
      </c>
    </row>
    <row r="5" spans="1:16" ht="29" thickBot="1">
      <c r="I5" s="91" t="s">
        <v>32</v>
      </c>
      <c r="J5" s="91"/>
      <c r="K5" s="91">
        <f>K2+K4</f>
        <v>339.52390783999999</v>
      </c>
      <c r="N5" s="68" t="s">
        <v>127</v>
      </c>
      <c r="O5" s="68">
        <f>O2*(1-Coeff_2!K2)</f>
        <v>8511.636551201238</v>
      </c>
    </row>
    <row r="6" spans="1:16" ht="21" thickBot="1">
      <c r="I6" s="91" t="s">
        <v>124</v>
      </c>
      <c r="J6" s="91"/>
      <c r="K6" s="91">
        <f>0.005454153*(BioMass!G2^2)*(1+(5.62462*Coeff_1!BJ2)+(8.50038*(Coeff_1!BJ2^2)))</f>
        <v>11.898243107374013</v>
      </c>
      <c r="N6" s="68" t="s">
        <v>128</v>
      </c>
      <c r="O6" s="68">
        <f>Coeff_2!Q2</f>
        <v>645.36172440582436</v>
      </c>
    </row>
    <row r="7" spans="1:16" ht="22" thickBot="1">
      <c r="I7" s="93" t="s">
        <v>142</v>
      </c>
      <c r="J7" s="94"/>
      <c r="K7" s="95">
        <f>K5+K6</f>
        <v>351.42215094737401</v>
      </c>
      <c r="L7" s="95">
        <f>0.34094*H2*G10^2</f>
        <v>355.56253777777772</v>
      </c>
      <c r="M7" s="153">
        <f>(K7-L7)/K7</f>
        <v>-1.1781803791371542E-2</v>
      </c>
      <c r="N7" s="134" t="s">
        <v>147</v>
      </c>
      <c r="O7" s="134">
        <f>M2/(L2+N2)</f>
        <v>0.15461768839629436</v>
      </c>
    </row>
    <row r="8" spans="1:16" ht="21" thickBot="1">
      <c r="L8" s="152" t="s">
        <v>247</v>
      </c>
      <c r="M8" s="95" t="s">
        <v>185</v>
      </c>
      <c r="N8" s="95"/>
      <c r="O8" s="95"/>
    </row>
    <row r="9" spans="1:16" ht="22" thickBot="1">
      <c r="B9" s="35"/>
      <c r="C9" s="31"/>
      <c r="D9" s="31"/>
      <c r="E9" s="31"/>
      <c r="F9" s="31"/>
      <c r="G9" s="37" t="s">
        <v>25</v>
      </c>
      <c r="H9" s="63" t="s">
        <v>26</v>
      </c>
      <c r="I9" s="38" t="s">
        <v>27</v>
      </c>
      <c r="J9" s="37" t="s">
        <v>19</v>
      </c>
      <c r="K9" s="38" t="s">
        <v>28</v>
      </c>
    </row>
    <row r="10" spans="1:16" ht="22" thickBot="1">
      <c r="B10" s="36" t="s">
        <v>24</v>
      </c>
      <c r="C10" s="33"/>
      <c r="D10" s="33"/>
      <c r="E10" s="33"/>
      <c r="F10" s="33"/>
      <c r="G10" s="36">
        <f>G2/12</f>
        <v>3.1666666666666665</v>
      </c>
      <c r="H10" s="32">
        <f>PI()*G10^2/4</f>
        <v>7.8757982496244114</v>
      </c>
      <c r="I10" s="34">
        <f>H2</f>
        <v>104</v>
      </c>
      <c r="J10" s="102"/>
      <c r="K10" s="90">
        <f>H10*I10*J10</f>
        <v>0</v>
      </c>
      <c r="L10" s="104" t="s">
        <v>155</v>
      </c>
      <c r="M10" s="31"/>
      <c r="N10" s="62"/>
    </row>
    <row r="11" spans="1:16" ht="22" thickBot="1">
      <c r="B11" s="36" t="s">
        <v>140</v>
      </c>
      <c r="D11" s="92"/>
      <c r="E11" s="31"/>
      <c r="F11" s="31"/>
      <c r="G11" s="31"/>
      <c r="H11" s="31"/>
      <c r="I11" s="31"/>
      <c r="J11" s="62"/>
      <c r="K11" s="83">
        <f>K10*(1+N36)</f>
        <v>0</v>
      </c>
      <c r="L11" s="84" t="s">
        <v>136</v>
      </c>
      <c r="M11" s="40">
        <f>Coeff_1!AX2</f>
        <v>0.34</v>
      </c>
      <c r="N11" s="40">
        <f>M11*62.4</f>
        <v>21.216000000000001</v>
      </c>
      <c r="O11" s="196" t="s">
        <v>138</v>
      </c>
    </row>
    <row r="12" spans="1:16" ht="20" thickBot="1">
      <c r="L12" s="85" t="s">
        <v>137</v>
      </c>
      <c r="M12" s="40">
        <f>Coeff_1!AZ2</f>
        <v>0.47</v>
      </c>
      <c r="N12" s="39">
        <f>M12*62.4</f>
        <v>29.327999999999999</v>
      </c>
      <c r="O12" s="225" t="s">
        <v>139</v>
      </c>
    </row>
    <row r="13" spans="1:16" ht="17" thickBot="1"/>
    <row r="14" spans="1:16" ht="17" thickBot="1">
      <c r="L14" s="61" t="s">
        <v>143</v>
      </c>
      <c r="M14" s="64"/>
      <c r="N14" s="65"/>
    </row>
    <row r="15" spans="1:16" ht="17" thickBot="1">
      <c r="L15" s="41" t="s">
        <v>40</v>
      </c>
      <c r="M15" s="42" t="s">
        <v>34</v>
      </c>
      <c r="N15" s="43" t="s">
        <v>35</v>
      </c>
    </row>
    <row r="16" spans="1:16">
      <c r="L16" s="44">
        <f>I2</f>
        <v>292.69302399999998</v>
      </c>
      <c r="M16" s="45">
        <f>N11</f>
        <v>21.216000000000001</v>
      </c>
      <c r="N16" s="46">
        <f>L16*M16</f>
        <v>6209.7751971839998</v>
      </c>
    </row>
    <row r="17" spans="12:14">
      <c r="L17" s="47"/>
      <c r="M17" s="48"/>
      <c r="N17" s="49"/>
    </row>
    <row r="18" spans="12:14" ht="17" thickBot="1">
      <c r="L18" s="52"/>
      <c r="M18" s="53"/>
      <c r="N18" s="54"/>
    </row>
    <row r="19" spans="12:14" ht="17" thickBot="1">
      <c r="L19" s="41" t="s">
        <v>22</v>
      </c>
      <c r="M19" s="42" t="s">
        <v>36</v>
      </c>
      <c r="N19" s="43" t="s">
        <v>37</v>
      </c>
    </row>
    <row r="20" spans="12:14">
      <c r="L20" s="55">
        <f>K4</f>
        <v>46.830883839999998</v>
      </c>
      <c r="M20" s="45">
        <f>N12</f>
        <v>29.327999999999999</v>
      </c>
      <c r="N20" s="56">
        <f>L20*M20</f>
        <v>1373.4561612595198</v>
      </c>
    </row>
    <row r="21" spans="12:14" ht="17" thickBot="1">
      <c r="L21" s="52"/>
      <c r="M21" s="53"/>
      <c r="N21" s="54"/>
    </row>
    <row r="22" spans="12:14" ht="17" thickBot="1">
      <c r="L22" s="41" t="s">
        <v>33</v>
      </c>
      <c r="M22" s="42"/>
      <c r="N22" s="67">
        <f>N16+N20</f>
        <v>7583.2313584435196</v>
      </c>
    </row>
    <row r="23" spans="12:14" ht="17" thickBot="1">
      <c r="L23" s="57"/>
      <c r="M23" s="58"/>
      <c r="N23" s="59"/>
    </row>
    <row r="24" spans="12:14" ht="17" thickBot="1">
      <c r="L24" s="41" t="s">
        <v>23</v>
      </c>
      <c r="M24" s="42" t="s">
        <v>133</v>
      </c>
      <c r="N24" s="43" t="s">
        <v>38</v>
      </c>
    </row>
    <row r="25" spans="12:14">
      <c r="L25" s="55">
        <f>K6</f>
        <v>11.898243107374013</v>
      </c>
      <c r="M25" s="45">
        <f>(Coeff_2!U2+Coeff_2!V2)/Coeff_2!T2</f>
        <v>22.263685195188739</v>
      </c>
      <c r="N25" s="56">
        <f>N2</f>
        <v>212.40718869909895</v>
      </c>
    </row>
    <row r="26" spans="12:14" ht="17" thickBot="1">
      <c r="L26" s="52"/>
      <c r="M26" s="53"/>
      <c r="N26" s="54"/>
    </row>
    <row r="27" spans="12:14" ht="17" thickBot="1">
      <c r="L27" s="41" t="s">
        <v>39</v>
      </c>
      <c r="M27" s="42"/>
      <c r="N27" s="66">
        <f>N22+N25</f>
        <v>7795.6385471426183</v>
      </c>
    </row>
    <row r="28" spans="12:14" ht="17" thickBot="1">
      <c r="L28" s="60"/>
      <c r="M28" s="45"/>
      <c r="N28" s="46"/>
    </row>
    <row r="29" spans="12:14" ht="17" thickBot="1">
      <c r="L29" s="41" t="s">
        <v>129</v>
      </c>
      <c r="M29" s="51"/>
      <c r="N29" s="69">
        <f>O6</f>
        <v>645.36172440582436</v>
      </c>
    </row>
    <row r="30" spans="12:14">
      <c r="L30" s="47"/>
      <c r="M30" s="48"/>
      <c r="N30" s="49"/>
    </row>
    <row r="31" spans="12:14">
      <c r="L31" s="70" t="s">
        <v>130</v>
      </c>
      <c r="M31" s="48"/>
      <c r="N31" s="69">
        <f>M2</f>
        <v>1205.3436117322383</v>
      </c>
    </row>
    <row r="32" spans="12:14">
      <c r="L32" s="50"/>
      <c r="M32" s="48"/>
      <c r="N32" s="49"/>
    </row>
    <row r="33" spans="2:15">
      <c r="L33" s="47"/>
      <c r="M33" s="48"/>
      <c r="N33" s="49"/>
    </row>
    <row r="34" spans="2:15" ht="17" thickBot="1">
      <c r="L34" s="71" t="s">
        <v>154</v>
      </c>
      <c r="M34" s="72"/>
      <c r="N34" s="73">
        <f>N27+N29+N31</f>
        <v>9646.3438832806805</v>
      </c>
    </row>
    <row r="35" spans="2:15" ht="17" thickBot="1">
      <c r="L35" s="75" t="s">
        <v>131</v>
      </c>
      <c r="M35" s="74"/>
      <c r="N35" s="76">
        <f>N31/N34</f>
        <v>0.12495341512978553</v>
      </c>
    </row>
    <row r="36" spans="2:15" ht="20" thickBot="1">
      <c r="L36" s="75" t="s">
        <v>132</v>
      </c>
      <c r="M36" s="35"/>
      <c r="N36" s="84">
        <f>N31/(N27)</f>
        <v>0.15461768839629436</v>
      </c>
    </row>
    <row r="37" spans="2:15" ht="27" thickBot="1">
      <c r="K37" s="97" t="s">
        <v>144</v>
      </c>
      <c r="L37" s="98">
        <f>L16+L20+L25</f>
        <v>351.42215094737401</v>
      </c>
    </row>
    <row r="38" spans="2:15" ht="27" thickBot="1">
      <c r="K38" s="97" t="s">
        <v>145</v>
      </c>
      <c r="L38" s="99">
        <f>L37*(1+N36)</f>
        <v>405.75823157811061</v>
      </c>
      <c r="M38" s="96" t="s">
        <v>146</v>
      </c>
      <c r="N38" s="62"/>
    </row>
    <row r="39" spans="2:15" ht="17" thickBot="1"/>
    <row r="40" spans="2:15" ht="22" thickBot="1">
      <c r="L40" s="224">
        <f>0.34094*H2*G10^2*(1+0.190557*(G2)^(-0.0551041))</f>
        <v>411.01085250522311</v>
      </c>
      <c r="M40" s="104" t="s">
        <v>248</v>
      </c>
      <c r="N40" s="196"/>
      <c r="O40" s="173">
        <f>(L40-L38)/L38</f>
        <v>1.294519868810436E-2</v>
      </c>
    </row>
    <row r="41" spans="2:15" ht="17" thickBot="1">
      <c r="B41" s="61" t="s">
        <v>141</v>
      </c>
      <c r="C41" s="31"/>
      <c r="D41" s="31"/>
      <c r="E41" s="31"/>
      <c r="F41" s="62"/>
      <c r="G41" s="41" t="s">
        <v>125</v>
      </c>
      <c r="H41" s="42" t="s">
        <v>126</v>
      </c>
      <c r="I41" s="42" t="s">
        <v>29</v>
      </c>
      <c r="J41" s="42" t="s">
        <v>30</v>
      </c>
      <c r="K41" s="43" t="s">
        <v>31</v>
      </c>
      <c r="L41" s="92"/>
      <c r="M41" s="31"/>
      <c r="N41" s="31"/>
      <c r="O41" s="62"/>
    </row>
    <row r="42" spans="2:15" ht="17" thickBot="1">
      <c r="B42" s="92"/>
      <c r="C42" s="31"/>
      <c r="D42" s="31"/>
      <c r="E42" s="31"/>
      <c r="F42" s="62"/>
      <c r="G42" s="86"/>
      <c r="H42" s="87">
        <f>G42/PI()/2</f>
        <v>0</v>
      </c>
      <c r="I42" s="88"/>
      <c r="J42" s="87">
        <f>I42/PI()/2</f>
        <v>0</v>
      </c>
      <c r="K42" s="89">
        <f>PI()*0.333*1*(H42^2+H42*J42+J42^2)</f>
        <v>0</v>
      </c>
      <c r="L42" s="61" t="s">
        <v>123</v>
      </c>
      <c r="M42" s="31"/>
      <c r="N42" s="31"/>
      <c r="O42" s="62"/>
    </row>
  </sheetData>
  <sheetProtection sheet="1" objects="1" scenarios="1"/>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68E42-D830-BB4E-B423-6A48BF350B46}">
  <dimension ref="A1:CJ5"/>
  <sheetViews>
    <sheetView workbookViewId="0">
      <selection activeCell="BK32" sqref="BK32"/>
    </sheetView>
  </sheetViews>
  <sheetFormatPr baseColWidth="10" defaultRowHeight="16"/>
  <cols>
    <col min="1" max="5" width="2" customWidth="1"/>
    <col min="6" max="10" width="3.1640625" customWidth="1"/>
    <col min="11" max="11" width="5.6640625" customWidth="1"/>
    <col min="12" max="37" width="3.1640625" customWidth="1"/>
    <col min="38" max="65" width="36.6640625" customWidth="1"/>
  </cols>
  <sheetData>
    <row r="1" spans="1:88" s="24" customFormat="1" ht="12.75" customHeight="1">
      <c r="A1" s="25" t="s">
        <v>41</v>
      </c>
      <c r="B1" s="25" t="s">
        <v>42</v>
      </c>
      <c r="C1" s="25" t="s">
        <v>43</v>
      </c>
      <c r="D1" s="25" t="s">
        <v>44</v>
      </c>
      <c r="E1" s="25" t="s">
        <v>45</v>
      </c>
      <c r="F1" s="25" t="s">
        <v>46</v>
      </c>
      <c r="G1" s="25" t="s">
        <v>47</v>
      </c>
      <c r="H1" s="25" t="s">
        <v>48</v>
      </c>
      <c r="I1" s="25" t="s">
        <v>49</v>
      </c>
      <c r="J1" s="25" t="s">
        <v>50</v>
      </c>
      <c r="K1" s="25" t="s">
        <v>51</v>
      </c>
      <c r="L1" s="25" t="s">
        <v>52</v>
      </c>
      <c r="M1" s="25" t="s">
        <v>53</v>
      </c>
      <c r="N1" s="25" t="s">
        <v>54</v>
      </c>
      <c r="O1" s="25" t="s">
        <v>55</v>
      </c>
      <c r="P1" s="25" t="s">
        <v>56</v>
      </c>
      <c r="Q1" s="25" t="s">
        <v>57</v>
      </c>
      <c r="R1" s="25" t="s">
        <v>58</v>
      </c>
      <c r="S1" s="25" t="s">
        <v>59</v>
      </c>
      <c r="T1" s="25" t="s">
        <v>60</v>
      </c>
      <c r="U1" s="25" t="s">
        <v>61</v>
      </c>
      <c r="V1" s="25" t="s">
        <v>62</v>
      </c>
      <c r="W1" s="25" t="s">
        <v>63</v>
      </c>
      <c r="X1" s="25" t="s">
        <v>64</v>
      </c>
      <c r="Y1" s="25" t="s">
        <v>65</v>
      </c>
      <c r="Z1" s="25" t="s">
        <v>66</v>
      </c>
      <c r="AA1" s="25" t="s">
        <v>67</v>
      </c>
      <c r="AB1" s="25" t="s">
        <v>68</v>
      </c>
      <c r="AC1" s="25" t="s">
        <v>69</v>
      </c>
      <c r="AD1" s="25" t="s">
        <v>70</v>
      </c>
      <c r="AE1" s="25" t="s">
        <v>71</v>
      </c>
      <c r="AF1" s="25" t="s">
        <v>72</v>
      </c>
      <c r="AG1" s="25" t="s">
        <v>73</v>
      </c>
      <c r="AH1" s="25" t="s">
        <v>74</v>
      </c>
      <c r="AI1" s="25" t="s">
        <v>75</v>
      </c>
      <c r="AJ1" s="25" t="s">
        <v>76</v>
      </c>
      <c r="AK1" s="25" t="s">
        <v>77</v>
      </c>
      <c r="AL1" s="25" t="s">
        <v>78</v>
      </c>
      <c r="AM1" s="25" t="s">
        <v>79</v>
      </c>
      <c r="AN1" s="25" t="s">
        <v>80</v>
      </c>
      <c r="AO1" s="25" t="s">
        <v>81</v>
      </c>
      <c r="AP1" s="25" t="s">
        <v>82</v>
      </c>
      <c r="AQ1" s="25" t="s">
        <v>83</v>
      </c>
      <c r="AR1" s="25" t="s">
        <v>84</v>
      </c>
      <c r="AS1" s="25" t="s">
        <v>85</v>
      </c>
      <c r="AT1" s="25" t="s">
        <v>86</v>
      </c>
      <c r="AU1" s="25" t="s">
        <v>87</v>
      </c>
      <c r="AV1" s="25" t="s">
        <v>88</v>
      </c>
      <c r="AW1" s="25" t="s">
        <v>89</v>
      </c>
      <c r="AX1" s="25" t="s">
        <v>90</v>
      </c>
      <c r="AY1" s="25" t="s">
        <v>91</v>
      </c>
      <c r="AZ1" s="25" t="s">
        <v>92</v>
      </c>
      <c r="BA1" s="25" t="s">
        <v>93</v>
      </c>
      <c r="BB1" s="25" t="s">
        <v>94</v>
      </c>
      <c r="BC1" s="25" t="s">
        <v>95</v>
      </c>
      <c r="BD1" s="25" t="s">
        <v>96</v>
      </c>
      <c r="BE1" s="25" t="s">
        <v>97</v>
      </c>
      <c r="BF1" s="25" t="s">
        <v>98</v>
      </c>
      <c r="BG1" s="25" t="s">
        <v>99</v>
      </c>
      <c r="BH1" s="25" t="s">
        <v>100</v>
      </c>
      <c r="BI1" s="25" t="s">
        <v>101</v>
      </c>
      <c r="BJ1" s="25" t="s">
        <v>102</v>
      </c>
      <c r="BK1" s="25" t="s">
        <v>103</v>
      </c>
      <c r="BL1" s="25" t="s">
        <v>104</v>
      </c>
    </row>
    <row r="2" spans="1:88">
      <c r="B2" s="2"/>
      <c r="C2" s="2"/>
      <c r="D2" s="4" t="s">
        <v>0</v>
      </c>
      <c r="E2" s="4">
        <v>129</v>
      </c>
      <c r="F2" s="5" t="s">
        <v>1</v>
      </c>
      <c r="G2" s="5" t="s">
        <v>2</v>
      </c>
      <c r="H2" s="5" t="s">
        <v>3</v>
      </c>
      <c r="I2" s="5"/>
      <c r="J2" s="5"/>
      <c r="K2" s="5" t="s">
        <v>4</v>
      </c>
      <c r="L2" s="4">
        <v>4</v>
      </c>
      <c r="M2" s="4">
        <v>4</v>
      </c>
      <c r="N2" s="4">
        <v>1</v>
      </c>
      <c r="O2" s="4"/>
      <c r="P2" s="4"/>
      <c r="Q2" s="5" t="s">
        <v>5</v>
      </c>
      <c r="R2" s="5" t="s">
        <v>5</v>
      </c>
      <c r="S2" s="5"/>
      <c r="T2" s="7"/>
      <c r="U2" s="7" t="s">
        <v>5</v>
      </c>
      <c r="V2" s="7" t="s">
        <v>5</v>
      </c>
      <c r="W2" s="7" t="s">
        <v>6</v>
      </c>
      <c r="X2" s="7" t="s">
        <v>5</v>
      </c>
      <c r="Y2" s="7" t="s">
        <v>5</v>
      </c>
      <c r="Z2" s="7"/>
      <c r="AA2" s="7"/>
      <c r="AB2" s="7" t="s">
        <v>5</v>
      </c>
      <c r="AC2" s="7" t="s">
        <v>7</v>
      </c>
      <c r="AD2" s="7"/>
      <c r="AE2" s="7"/>
      <c r="AF2" s="8"/>
      <c r="AG2" s="8"/>
      <c r="AH2" s="7" t="s">
        <v>8</v>
      </c>
      <c r="AI2" s="9"/>
      <c r="AJ2" s="7" t="s">
        <v>9</v>
      </c>
      <c r="AK2" s="7" t="s">
        <v>10</v>
      </c>
      <c r="AL2" s="22">
        <v>4</v>
      </c>
      <c r="AM2" s="7" t="s">
        <v>12</v>
      </c>
      <c r="AN2" s="7" t="s">
        <v>11</v>
      </c>
      <c r="AO2" s="6">
        <v>-0.37369999999999998</v>
      </c>
      <c r="AP2" s="10">
        <v>-1.8055000000000001</v>
      </c>
      <c r="AQ2" s="10">
        <v>-2.0979999999999999</v>
      </c>
      <c r="AR2" s="10">
        <v>-1.1432</v>
      </c>
      <c r="AS2" s="10">
        <v>-2.9584000000000001</v>
      </c>
      <c r="AT2" s="10">
        <v>4.4766000000000004</v>
      </c>
      <c r="AU2" s="10">
        <v>-1.5619000000000001</v>
      </c>
      <c r="AV2" s="10">
        <v>0.66139999999999999</v>
      </c>
      <c r="AW2" s="10">
        <v>0.72911000000000004</v>
      </c>
      <c r="AX2" s="10">
        <v>0.34</v>
      </c>
      <c r="AY2" s="6">
        <v>1</v>
      </c>
      <c r="AZ2" s="10">
        <v>0.47</v>
      </c>
      <c r="BA2" s="6">
        <v>4</v>
      </c>
      <c r="BB2" s="10">
        <v>64.970590000000001</v>
      </c>
      <c r="BC2" s="6">
        <v>22</v>
      </c>
      <c r="BD2" s="10">
        <v>70.489360000000005</v>
      </c>
      <c r="BE2" s="6">
        <v>22</v>
      </c>
      <c r="BF2" s="10">
        <v>0.35</v>
      </c>
      <c r="BG2" s="6">
        <v>1</v>
      </c>
      <c r="BH2" s="10">
        <v>16</v>
      </c>
      <c r="BI2" s="6">
        <v>35</v>
      </c>
      <c r="BJ2" s="10">
        <v>8.0909999999999996E-2</v>
      </c>
      <c r="BK2" s="10">
        <v>0.90698000000000001</v>
      </c>
      <c r="BL2" s="10">
        <v>8.4690000000000001E-2</v>
      </c>
      <c r="BM2" s="23"/>
      <c r="BN2" s="23"/>
      <c r="BO2" s="23"/>
      <c r="BP2" s="23"/>
      <c r="BQ2" s="23"/>
      <c r="BR2" s="23"/>
      <c r="BS2" s="23"/>
      <c r="BT2" s="23"/>
      <c r="BU2" s="23"/>
      <c r="BV2" s="23"/>
      <c r="BW2" s="23"/>
      <c r="BX2" s="23"/>
      <c r="BY2" s="23"/>
      <c r="BZ2" s="23"/>
      <c r="CA2" s="23"/>
      <c r="CB2" s="23"/>
      <c r="CC2" s="23"/>
      <c r="CD2" s="23"/>
      <c r="CE2" s="23"/>
      <c r="CF2" s="23"/>
      <c r="CG2" s="23"/>
      <c r="CH2" s="23"/>
      <c r="CI2" s="23"/>
      <c r="CJ2" s="23"/>
    </row>
    <row r="5" spans="1:88">
      <c r="A5" s="1"/>
      <c r="B5" s="1"/>
      <c r="C5" s="1"/>
      <c r="D5" s="1"/>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CA873-7F79-594F-A084-8266B6F90DE6}">
  <dimension ref="A1:Y42"/>
  <sheetViews>
    <sheetView topLeftCell="O1" workbookViewId="0">
      <selection activeCell="X2" sqref="X2"/>
    </sheetView>
  </sheetViews>
  <sheetFormatPr baseColWidth="10" defaultRowHeight="16"/>
  <cols>
    <col min="1" max="10" width="26.1640625" customWidth="1"/>
    <col min="11" max="11" width="30.5" customWidth="1"/>
    <col min="12" max="25" width="26.1640625" customWidth="1"/>
  </cols>
  <sheetData>
    <row r="1" spans="1:25" s="30" customFormat="1" ht="12.75" customHeight="1">
      <c r="A1" s="26" t="s">
        <v>42</v>
      </c>
      <c r="B1" s="26" t="s">
        <v>43</v>
      </c>
      <c r="C1" s="26" t="s">
        <v>44</v>
      </c>
      <c r="D1" s="26" t="s">
        <v>45</v>
      </c>
      <c r="E1" s="26" t="s">
        <v>46</v>
      </c>
      <c r="F1" s="26" t="s">
        <v>47</v>
      </c>
      <c r="G1" s="27"/>
      <c r="H1" s="27" t="s">
        <v>105</v>
      </c>
      <c r="I1" s="28" t="s">
        <v>106</v>
      </c>
      <c r="J1" s="28" t="s">
        <v>107</v>
      </c>
      <c r="K1" s="28" t="s">
        <v>108</v>
      </c>
      <c r="L1" s="27" t="s">
        <v>109</v>
      </c>
      <c r="M1" s="29" t="s">
        <v>110</v>
      </c>
      <c r="N1" s="27" t="s">
        <v>111</v>
      </c>
      <c r="O1" s="27" t="s">
        <v>112</v>
      </c>
      <c r="P1" s="27" t="s">
        <v>113</v>
      </c>
      <c r="Q1" s="27" t="s">
        <v>114</v>
      </c>
      <c r="R1" s="27" t="s">
        <v>115</v>
      </c>
      <c r="S1" s="27" t="s">
        <v>116</v>
      </c>
      <c r="T1" s="27" t="s">
        <v>117</v>
      </c>
      <c r="U1" s="27" t="s">
        <v>118</v>
      </c>
      <c r="V1" s="27" t="s">
        <v>119</v>
      </c>
      <c r="W1" s="27" t="s">
        <v>120</v>
      </c>
      <c r="X1" s="29" t="s">
        <v>121</v>
      </c>
      <c r="Y1" s="28" t="s">
        <v>122</v>
      </c>
    </row>
    <row r="2" spans="1:25" s="20" customFormat="1" ht="12.75" customHeight="1">
      <c r="A2" s="11">
        <v>129</v>
      </c>
      <c r="B2" s="12" t="s">
        <v>1</v>
      </c>
      <c r="C2" s="12" t="s">
        <v>2</v>
      </c>
      <c r="D2" s="12" t="s">
        <v>3</v>
      </c>
      <c r="E2" s="12"/>
      <c r="F2" s="12"/>
      <c r="G2" s="13"/>
      <c r="H2" s="1">
        <v>1.949E-3</v>
      </c>
      <c r="I2" s="14">
        <f>EXP(Coeff_1!AO2+(Coeff_1!AP2/(BioMass!G2*2.54)))</f>
        <v>0.67542985560621049</v>
      </c>
      <c r="J2" s="14">
        <f>EXP(Coeff_1!AQ2+(Coeff_1!AR2/(BioMass!G2*2.54)))</f>
        <v>0.12125685952380341</v>
      </c>
      <c r="K2" s="100">
        <f>EXP(Coeff_1!AS2+(Coeff_1!AT2/(BioMass!G2*2.54)))</f>
        <v>5.43658013132634E-2</v>
      </c>
      <c r="L2" s="13">
        <f>EXP(Coeff_1!AU2+(Coeff_1!AV2/(BioMass!G2*2.54)))</f>
        <v>0.21117934416335918</v>
      </c>
      <c r="M2" s="103">
        <f>(EXP(Coeff_1!AM2+(Coeff_1!AN2*(LN(BioMass!G2*2.54)))))*2.2046</f>
        <v>11870.729554544028</v>
      </c>
      <c r="N2" s="15">
        <f t="shared" ref="N2" si="0">M2*I2</f>
        <v>8017.8451489660483</v>
      </c>
      <c r="O2" s="15">
        <f t="shared" ref="O2" si="1">M2*J2</f>
        <v>1439.4073860404067</v>
      </c>
      <c r="P2" s="15">
        <f t="shared" ref="P2" si="2">N2+O2</f>
        <v>9457.2525350064552</v>
      </c>
      <c r="Q2" s="16">
        <f t="shared" ref="Q2" si="3">M2*K2</f>
        <v>645.36172440582436</v>
      </c>
      <c r="R2" s="16">
        <f t="shared" ref="R2" si="4">M2*L2</f>
        <v>2506.8528820692127</v>
      </c>
      <c r="S2" s="17">
        <f>0.005454153*(BioMass!G2^2)*((Coeff_1!BK2^2)+(5.62462*Coeff_1!BK2*Coeff_1!BL2)+(8.50038*(Coeff_1!BL2^2)))</f>
        <v>10.361555095496273</v>
      </c>
      <c r="T2" s="17">
        <f>0.005454153*(BioMass!G2^2)*(1+(5.62462*Coeff_1!BJ2)+(8.50038*(Coeff_1!BJ2^2)))</f>
        <v>11.898243107374013</v>
      </c>
      <c r="U2" s="17">
        <f>(T2-S2)*62.4*Coeff_1!AZ2</f>
        <v>45.067986012350339</v>
      </c>
      <c r="V2" s="18">
        <f>S2*62.4*Coeff_1!AX2</f>
        <v>219.83075290604893</v>
      </c>
      <c r="W2" s="19">
        <f t="shared" ref="W2" si="5">U2+V2</f>
        <v>264.89873891839926</v>
      </c>
      <c r="X2" s="16">
        <f t="shared" ref="X2" si="6">M2-N2-O2-Q2-W2</f>
        <v>1503.2165562133496</v>
      </c>
      <c r="Y2" s="19">
        <f>BioMass!L2/P2</f>
        <v>0.80184295918649096</v>
      </c>
    </row>
    <row r="3" spans="1:25">
      <c r="N3" s="101"/>
    </row>
    <row r="4" spans="1:25" ht="17" thickBot="1">
      <c r="B4" s="3"/>
      <c r="N4" s="101"/>
    </row>
    <row r="5" spans="1:25" ht="17" thickBot="1">
      <c r="Q5" s="77" t="s">
        <v>183</v>
      </c>
      <c r="R5" s="139" t="s">
        <v>184</v>
      </c>
    </row>
    <row r="6" spans="1:25" ht="17" thickBot="1">
      <c r="Q6" s="115" t="s">
        <v>178</v>
      </c>
      <c r="R6" s="135">
        <f>I2</f>
        <v>0.67542985560621049</v>
      </c>
    </row>
    <row r="7" spans="1:25" ht="17" thickBot="1">
      <c r="K7" s="61" t="s">
        <v>148</v>
      </c>
      <c r="L7" s="31"/>
      <c r="M7" s="31"/>
      <c r="N7" s="65">
        <f>EXP(M9+(M10/(M11*2.54)))</f>
        <v>5.4279790436188767E-2</v>
      </c>
      <c r="Q7" s="136" t="s">
        <v>179</v>
      </c>
      <c r="R7" s="137">
        <f>J2</f>
        <v>0.12125685952380341</v>
      </c>
    </row>
    <row r="8" spans="1:25" ht="17" thickBot="1">
      <c r="Q8" s="136" t="s">
        <v>180</v>
      </c>
      <c r="R8" s="137">
        <f>K2</f>
        <v>5.43658013132634E-2</v>
      </c>
    </row>
    <row r="9" spans="1:25" ht="17" thickBot="1">
      <c r="K9" s="105" t="s">
        <v>85</v>
      </c>
      <c r="L9" s="109" t="s">
        <v>149</v>
      </c>
      <c r="M9" s="106">
        <v>-2.9584000000000001</v>
      </c>
      <c r="Q9" s="121" t="s">
        <v>181</v>
      </c>
      <c r="R9" s="138">
        <f>L2</f>
        <v>0.21117934416335918</v>
      </c>
    </row>
    <row r="10" spans="1:25" ht="17" thickBot="1">
      <c r="K10" s="107" t="s">
        <v>86</v>
      </c>
      <c r="L10" s="110" t="s">
        <v>150</v>
      </c>
      <c r="M10" s="108">
        <v>4.4766000000000004</v>
      </c>
    </row>
    <row r="11" spans="1:25" ht="21" thickBot="1">
      <c r="K11" s="111" t="s">
        <v>20</v>
      </c>
      <c r="L11" s="77" t="s">
        <v>156</v>
      </c>
      <c r="M11" s="81">
        <f>10.3/PI()*12</f>
        <v>39.343101932316529</v>
      </c>
      <c r="Q11" s="77" t="s">
        <v>182</v>
      </c>
      <c r="R11" s="119">
        <f>SUM(R6:R9)</f>
        <v>1.0622318606066365</v>
      </c>
    </row>
    <row r="12" spans="1:25" ht="17" thickBot="1">
      <c r="K12" s="113" t="s">
        <v>152</v>
      </c>
      <c r="L12" s="65"/>
      <c r="M12" s="77" t="s">
        <v>157</v>
      </c>
    </row>
    <row r="13" spans="1:25" ht="17" thickBot="1">
      <c r="K13" s="77" t="s">
        <v>151</v>
      </c>
      <c r="L13" s="112">
        <f>Q2</f>
        <v>645.36172440582436</v>
      </c>
      <c r="Q13" s="101"/>
    </row>
    <row r="23" spans="10:16" ht="17" thickBot="1"/>
    <row r="24" spans="10:16" ht="17" thickBot="1">
      <c r="J24" s="114" t="s">
        <v>110</v>
      </c>
      <c r="K24" s="113" t="s">
        <v>153</v>
      </c>
      <c r="L24" s="64"/>
      <c r="M24" s="65"/>
    </row>
    <row r="25" spans="10:16" ht="17" thickBot="1"/>
    <row r="26" spans="10:16" ht="17" thickBot="1">
      <c r="K26" s="115" t="s">
        <v>158</v>
      </c>
      <c r="L26" s="115" t="s">
        <v>160</v>
      </c>
      <c r="M26" s="35" t="s">
        <v>159</v>
      </c>
      <c r="O26" s="101"/>
    </row>
    <row r="27" spans="10:16" ht="22" thickBot="1">
      <c r="K27" s="116" t="s">
        <v>12</v>
      </c>
      <c r="L27" s="116" t="s">
        <v>11</v>
      </c>
      <c r="M27" s="117">
        <f>BioMass!$G$2</f>
        <v>38</v>
      </c>
      <c r="N27" s="84">
        <f>(EXP(K27+(L27*LN(M27*2.54))))*2.2046</f>
        <v>11870.729554544028</v>
      </c>
      <c r="O27" s="120" t="s">
        <v>165</v>
      </c>
      <c r="P27" s="65"/>
    </row>
    <row r="28" spans="10:16">
      <c r="N28" s="101"/>
      <c r="O28" s="101"/>
    </row>
    <row r="29" spans="10:16" ht="17" thickBot="1"/>
    <row r="30" spans="10:16" ht="17" thickBot="1">
      <c r="K30" s="77" t="s">
        <v>113</v>
      </c>
      <c r="L30" s="112">
        <f>P2</f>
        <v>9457.2525350064552</v>
      </c>
    </row>
    <row r="31" spans="10:16" ht="17" thickBot="1">
      <c r="K31" s="77" t="s">
        <v>161</v>
      </c>
      <c r="L31" s="118">
        <f>BioMass!L2</f>
        <v>7583.2313584435196</v>
      </c>
      <c r="M31" s="120" t="s">
        <v>166</v>
      </c>
      <c r="N31" s="122"/>
      <c r="O31" s="123"/>
    </row>
    <row r="32" spans="10:16" ht="17" thickBot="1">
      <c r="M32" s="121" t="s">
        <v>163</v>
      </c>
    </row>
    <row r="33" spans="11:14" ht="17" thickBot="1">
      <c r="K33" s="77" t="s">
        <v>162</v>
      </c>
      <c r="L33" s="118">
        <f>W2</f>
        <v>264.89873891839926</v>
      </c>
      <c r="M33" s="119">
        <f>Y2</f>
        <v>0.80184295918649096</v>
      </c>
    </row>
    <row r="34" spans="11:14" ht="17" thickBot="1">
      <c r="K34" s="77" t="s">
        <v>164</v>
      </c>
      <c r="L34" s="118">
        <f>L33*M33</f>
        <v>212.40718869909895</v>
      </c>
    </row>
    <row r="35" spans="11:14" ht="17" thickBot="1">
      <c r="M35" s="128" t="s">
        <v>171</v>
      </c>
    </row>
    <row r="36" spans="11:14" ht="17" thickBot="1">
      <c r="K36" s="124" t="s">
        <v>167</v>
      </c>
      <c r="L36" s="125">
        <f>P2</f>
        <v>9457.2525350064552</v>
      </c>
      <c r="M36" s="112">
        <f>L36</f>
        <v>9457.2525350064552</v>
      </c>
    </row>
    <row r="37" spans="11:14" ht="17" thickBot="1">
      <c r="K37" s="124" t="s">
        <v>168</v>
      </c>
      <c r="L37" s="125">
        <f>Q2</f>
        <v>645.36172440582436</v>
      </c>
      <c r="M37" s="112">
        <f>M36+L37</f>
        <v>10102.614259412279</v>
      </c>
    </row>
    <row r="38" spans="11:14" ht="17" thickBot="1">
      <c r="K38" s="124" t="s">
        <v>169</v>
      </c>
      <c r="L38" s="125">
        <f>W2</f>
        <v>264.89873891839926</v>
      </c>
      <c r="M38" s="112">
        <f>M37+L38</f>
        <v>10367.512998330678</v>
      </c>
    </row>
    <row r="39" spans="11:14" ht="17" thickBot="1">
      <c r="K39" s="124" t="s">
        <v>170</v>
      </c>
      <c r="L39" s="125">
        <f>X2</f>
        <v>1503.2165562133496</v>
      </c>
      <c r="M39" s="112">
        <f>M38+L39</f>
        <v>11870.729554544028</v>
      </c>
    </row>
    <row r="40" spans="11:14" ht="17" thickBot="1"/>
    <row r="41" spans="11:14" ht="17" thickBot="1">
      <c r="K41" s="124" t="s">
        <v>172</v>
      </c>
      <c r="M41" s="129">
        <f>BioMass!O2</f>
        <v>9000.9821588748564</v>
      </c>
    </row>
    <row r="42" spans="11:14" ht="17" thickBot="1">
      <c r="K42" s="126" t="s">
        <v>173</v>
      </c>
      <c r="L42" s="127"/>
      <c r="M42" s="130">
        <f>M39-M41</f>
        <v>2869.747395669172</v>
      </c>
      <c r="N42" s="77" t="s">
        <v>174</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350DE-9F0D-CF41-A5C1-4591935E3D77}">
  <dimension ref="A1:AA58"/>
  <sheetViews>
    <sheetView workbookViewId="0">
      <selection activeCell="W57" sqref="W57"/>
    </sheetView>
  </sheetViews>
  <sheetFormatPr baseColWidth="10" defaultRowHeight="16"/>
  <cols>
    <col min="9" max="9" width="6.83203125" customWidth="1"/>
    <col min="11" max="11" width="17.33203125" customWidth="1"/>
    <col min="12" max="12" width="13.6640625" customWidth="1"/>
    <col min="17" max="17" width="16.33203125" customWidth="1"/>
    <col min="21" max="21" width="8.33203125" customWidth="1"/>
    <col min="23" max="23" width="19.83203125" customWidth="1"/>
    <col min="25" max="25" width="20.1640625" customWidth="1"/>
  </cols>
  <sheetData>
    <row r="1" spans="1:27" ht="17" thickBot="1">
      <c r="X1" s="77" t="s">
        <v>191</v>
      </c>
      <c r="Y1" s="75" t="s">
        <v>192</v>
      </c>
    </row>
    <row r="2" spans="1:27" ht="27" thickBot="1">
      <c r="A2" s="202" t="s">
        <v>186</v>
      </c>
      <c r="B2" s="74" t="s">
        <v>187</v>
      </c>
      <c r="C2" s="74" t="s">
        <v>188</v>
      </c>
      <c r="D2" s="74" t="s">
        <v>189</v>
      </c>
      <c r="E2" s="74" t="s">
        <v>19</v>
      </c>
      <c r="F2" s="74" t="s">
        <v>190</v>
      </c>
      <c r="G2" s="139" t="s">
        <v>245</v>
      </c>
      <c r="H2" s="139" t="s">
        <v>202</v>
      </c>
      <c r="J2" s="155" t="s">
        <v>208</v>
      </c>
      <c r="T2" s="41" t="s">
        <v>193</v>
      </c>
      <c r="U2" s="42" t="s">
        <v>194</v>
      </c>
      <c r="V2" s="197" t="s">
        <v>234</v>
      </c>
      <c r="W2" s="75" t="s">
        <v>235</v>
      </c>
      <c r="X2" s="198" t="s">
        <v>195</v>
      </c>
      <c r="Y2" s="42" t="s">
        <v>196</v>
      </c>
      <c r="Z2" s="43" t="s">
        <v>206</v>
      </c>
      <c r="AA2" s="75" t="s">
        <v>197</v>
      </c>
    </row>
    <row r="3" spans="1:27">
      <c r="A3" s="203">
        <v>36</v>
      </c>
      <c r="B3" s="175">
        <f>A3/12</f>
        <v>3</v>
      </c>
      <c r="C3" s="206">
        <v>120</v>
      </c>
      <c r="D3" s="206">
        <v>362.28</v>
      </c>
      <c r="E3" s="206">
        <v>0.42710999999999999</v>
      </c>
      <c r="F3" s="175">
        <f>E3*PI()/4</f>
        <v>0.33545140956868413</v>
      </c>
      <c r="G3" s="176">
        <f>$O$5*C3*B3^2</f>
        <v>368.21824058057985</v>
      </c>
      <c r="H3" s="217">
        <v>0.15479999999999999</v>
      </c>
      <c r="T3" s="156">
        <f>B3</f>
        <v>3</v>
      </c>
      <c r="U3" s="157">
        <f>C3</f>
        <v>120</v>
      </c>
      <c r="V3" s="154">
        <f>$O$5*U3*T3^2</f>
        <v>368.21824058057985</v>
      </c>
      <c r="W3" s="199">
        <f>$M$36*(12*T3)^($M$38)*V3</f>
        <v>57.597617919902987</v>
      </c>
      <c r="X3" s="163">
        <f>V3+W3</f>
        <v>425.81585850048282</v>
      </c>
      <c r="Y3" s="158">
        <v>418.37</v>
      </c>
      <c r="Z3" s="159">
        <f>ABS(X3-Y3)</f>
        <v>7.4458585004828137</v>
      </c>
      <c r="AA3" s="160">
        <f>Z3/Y3</f>
        <v>1.7797305018244169E-2</v>
      </c>
    </row>
    <row r="4" spans="1:27" ht="21">
      <c r="A4" s="204">
        <v>24</v>
      </c>
      <c r="B4" s="154">
        <f>A4/12</f>
        <v>2</v>
      </c>
      <c r="C4" s="207">
        <v>80</v>
      </c>
      <c r="D4" s="207">
        <v>108.93</v>
      </c>
      <c r="E4" s="207">
        <v>0.43340000000000001</v>
      </c>
      <c r="F4" s="154">
        <f>E4*PI()/4</f>
        <v>0.3403915640164541</v>
      </c>
      <c r="G4" s="154">
        <f t="shared" ref="G4:G18" si="0">$O$5*C4*B4^2</f>
        <v>109.1017009127644</v>
      </c>
      <c r="H4" s="218">
        <v>0.15736</v>
      </c>
      <c r="O4" s="211" t="s">
        <v>238</v>
      </c>
      <c r="P4" s="212"/>
      <c r="T4" s="161">
        <f>B4</f>
        <v>2</v>
      </c>
      <c r="U4" s="162">
        <f>C4</f>
        <v>80</v>
      </c>
      <c r="V4" s="154">
        <f>$O$5*U4*T4^2</f>
        <v>109.1017009127644</v>
      </c>
      <c r="W4" s="200">
        <f t="shared" ref="W4:W18" si="1">$M$36*(12*T4)^($M$38)*V4</f>
        <v>17.451553889741646</v>
      </c>
      <c r="X4" s="163">
        <f t="shared" ref="X4:X18" si="2">V4+W4</f>
        <v>126.55325480250605</v>
      </c>
      <c r="Y4" s="164">
        <v>126.07</v>
      </c>
      <c r="Z4" s="165">
        <f>ABS(X4-Y4)</f>
        <v>0.48325480250605324</v>
      </c>
      <c r="AA4" s="166">
        <f>Z4/Y4</f>
        <v>3.8332260054418439E-3</v>
      </c>
    </row>
    <row r="5" spans="1:27" ht="21">
      <c r="A5" s="204">
        <v>12</v>
      </c>
      <c r="B5" s="154">
        <f t="shared" ref="B5:B18" si="3">A5/12</f>
        <v>1</v>
      </c>
      <c r="C5" s="207">
        <v>40</v>
      </c>
      <c r="D5" s="207">
        <v>14.21</v>
      </c>
      <c r="E5" s="207">
        <v>0.45229000000000003</v>
      </c>
      <c r="F5" s="154">
        <f t="shared" ref="F5:F18" si="4">E5*PI()/4</f>
        <v>0.35522773532303192</v>
      </c>
      <c r="G5" s="154">
        <f t="shared" si="0"/>
        <v>13.63771261409555</v>
      </c>
      <c r="H5" s="218">
        <v>0.16955999999999999</v>
      </c>
      <c r="O5" s="210">
        <f>F19</f>
        <v>0.34094281535238874</v>
      </c>
      <c r="T5" s="161">
        <f t="shared" ref="T5:T18" si="5">B5</f>
        <v>1</v>
      </c>
      <c r="U5" s="162">
        <f t="shared" ref="U5:U18" si="6">C5</f>
        <v>40</v>
      </c>
      <c r="V5" s="154">
        <f t="shared" ref="V5:V18" si="7">$O$5*U5*T5^2</f>
        <v>13.63771261409555</v>
      </c>
      <c r="W5" s="200">
        <f t="shared" si="1"/>
        <v>2.2663767932240435</v>
      </c>
      <c r="X5" s="163">
        <f t="shared" si="2"/>
        <v>15.904089407319594</v>
      </c>
      <c r="Y5" s="164">
        <v>16.62</v>
      </c>
      <c r="Z5" s="165">
        <f>ABS(X5-Y5)</f>
        <v>0.71591059268040702</v>
      </c>
      <c r="AA5" s="166">
        <f>Z5/Y5</f>
        <v>4.3075246250325328E-2</v>
      </c>
    </row>
    <row r="6" spans="1:27">
      <c r="A6" s="204">
        <v>40</v>
      </c>
      <c r="B6" s="154">
        <f t="shared" si="3"/>
        <v>3.3333333333333335</v>
      </c>
      <c r="C6" s="207">
        <v>115</v>
      </c>
      <c r="D6" s="207">
        <v>429.18</v>
      </c>
      <c r="E6" s="207">
        <v>0.42764999999999997</v>
      </c>
      <c r="F6" s="154">
        <f t="shared" si="4"/>
        <v>0.33587552457691872</v>
      </c>
      <c r="G6" s="154">
        <f t="shared" si="0"/>
        <v>435.64915295027458</v>
      </c>
      <c r="H6" s="218">
        <v>0.15447</v>
      </c>
      <c r="T6" s="161">
        <f t="shared" si="5"/>
        <v>3.3333333333333335</v>
      </c>
      <c r="U6" s="162">
        <f t="shared" si="6"/>
        <v>115</v>
      </c>
      <c r="V6" s="154">
        <f t="shared" si="7"/>
        <v>435.64915295027458</v>
      </c>
      <c r="W6" s="200">
        <f t="shared" si="1"/>
        <v>67.750837929304836</v>
      </c>
      <c r="X6" s="163">
        <f t="shared" si="2"/>
        <v>503.39999087957943</v>
      </c>
      <c r="Y6" s="164">
        <v>495.47</v>
      </c>
      <c r="Z6" s="165">
        <f t="shared" ref="Z6:Z18" si="8">ABS(X6-Y6)</f>
        <v>7.9299908795794067</v>
      </c>
      <c r="AA6" s="166">
        <f t="shared" ref="AA6:AA18" si="9">Z6/Y6</f>
        <v>1.600498694084285E-2</v>
      </c>
    </row>
    <row r="7" spans="1:27">
      <c r="A7" s="204">
        <v>48</v>
      </c>
      <c r="B7" s="154">
        <f t="shared" si="3"/>
        <v>4</v>
      </c>
      <c r="C7" s="207">
        <v>90</v>
      </c>
      <c r="D7" s="207">
        <v>487.79</v>
      </c>
      <c r="E7" s="207">
        <v>0.43130000000000002</v>
      </c>
      <c r="F7" s="154">
        <f t="shared" si="4"/>
        <v>0.33874222787331948</v>
      </c>
      <c r="G7" s="154">
        <f t="shared" si="0"/>
        <v>490.95765410743979</v>
      </c>
      <c r="H7" s="218">
        <v>0.15415999999999999</v>
      </c>
      <c r="T7" s="161">
        <f t="shared" si="5"/>
        <v>4</v>
      </c>
      <c r="U7" s="162">
        <f t="shared" si="6"/>
        <v>90</v>
      </c>
      <c r="V7" s="154">
        <f t="shared" si="7"/>
        <v>490.95765410743979</v>
      </c>
      <c r="W7" s="200">
        <f t="shared" si="1"/>
        <v>75.589003081206968</v>
      </c>
      <c r="X7" s="163">
        <f t="shared" si="2"/>
        <v>566.5466571886468</v>
      </c>
      <c r="Y7" s="164">
        <v>562.99</v>
      </c>
      <c r="Z7" s="165">
        <f t="shared" si="8"/>
        <v>3.5566571886467955</v>
      </c>
      <c r="AA7" s="166">
        <f t="shared" si="9"/>
        <v>6.3174429184298039E-3</v>
      </c>
    </row>
    <row r="8" spans="1:27">
      <c r="A8" s="204">
        <v>16</v>
      </c>
      <c r="B8" s="154">
        <f t="shared" si="3"/>
        <v>1.3333333333333333</v>
      </c>
      <c r="C8" s="207">
        <v>78</v>
      </c>
      <c r="D8" s="207">
        <v>47.25</v>
      </c>
      <c r="E8" s="207">
        <v>0.43389</v>
      </c>
      <c r="F8" s="154">
        <f t="shared" si="4"/>
        <v>0.34077640911651885</v>
      </c>
      <c r="G8" s="154">
        <f t="shared" si="0"/>
        <v>47.27740372886457</v>
      </c>
      <c r="H8" s="218">
        <v>0.16291</v>
      </c>
      <c r="T8" s="161">
        <f t="shared" si="5"/>
        <v>1.3333333333333333</v>
      </c>
      <c r="U8" s="162">
        <f t="shared" si="6"/>
        <v>78</v>
      </c>
      <c r="V8" s="154">
        <f t="shared" si="7"/>
        <v>47.27740372886457</v>
      </c>
      <c r="W8" s="200">
        <f t="shared" si="1"/>
        <v>7.7332056140845244</v>
      </c>
      <c r="X8" s="163">
        <f t="shared" si="2"/>
        <v>55.010609342949095</v>
      </c>
      <c r="Y8" s="164">
        <v>54.95</v>
      </c>
      <c r="Z8" s="165">
        <f t="shared" si="8"/>
        <v>6.0609342949092593E-2</v>
      </c>
      <c r="AA8" s="166">
        <f t="shared" si="9"/>
        <v>1.1029907725039598E-3</v>
      </c>
    </row>
    <row r="9" spans="1:27">
      <c r="A9" s="204">
        <v>20</v>
      </c>
      <c r="B9" s="154">
        <f t="shared" si="3"/>
        <v>1.6666666666666667</v>
      </c>
      <c r="C9" s="207">
        <v>112</v>
      </c>
      <c r="D9" s="207">
        <v>104.58</v>
      </c>
      <c r="E9" s="207">
        <v>0.42801</v>
      </c>
      <c r="F9" s="154">
        <f t="shared" si="4"/>
        <v>0.33615826791574183</v>
      </c>
      <c r="G9" s="154">
        <f t="shared" si="0"/>
        <v>106.07109810963206</v>
      </c>
      <c r="H9" s="218">
        <v>0.15939999999999999</v>
      </c>
      <c r="T9" s="161">
        <f t="shared" si="5"/>
        <v>1.6666666666666667</v>
      </c>
      <c r="U9" s="162">
        <f t="shared" si="6"/>
        <v>112</v>
      </c>
      <c r="V9" s="154">
        <f t="shared" si="7"/>
        <v>106.07109810963206</v>
      </c>
      <c r="W9" s="200">
        <f t="shared" si="1"/>
        <v>17.138107422612553</v>
      </c>
      <c r="X9" s="163">
        <f t="shared" si="2"/>
        <v>123.20920553224461</v>
      </c>
      <c r="Y9" s="164">
        <v>121.25</v>
      </c>
      <c r="Z9" s="165">
        <f t="shared" si="8"/>
        <v>1.95920553224461</v>
      </c>
      <c r="AA9" s="166">
        <f t="shared" si="9"/>
        <v>1.6158396142223589E-2</v>
      </c>
    </row>
    <row r="10" spans="1:27">
      <c r="A10" s="204">
        <v>54</v>
      </c>
      <c r="B10" s="154">
        <f t="shared" si="3"/>
        <v>4.5</v>
      </c>
      <c r="C10" s="207">
        <v>88</v>
      </c>
      <c r="D10" s="207">
        <v>604.17999999999995</v>
      </c>
      <c r="E10" s="207">
        <v>0.43618000000000001</v>
      </c>
      <c r="F10" s="154">
        <f t="shared" si="4"/>
        <v>0.34257497091069899</v>
      </c>
      <c r="G10" s="154">
        <f t="shared" si="0"/>
        <v>607.56009695795672</v>
      </c>
      <c r="H10" s="218">
        <v>0.15409</v>
      </c>
      <c r="T10" s="161">
        <f t="shared" si="5"/>
        <v>4.5</v>
      </c>
      <c r="U10" s="162">
        <f t="shared" si="6"/>
        <v>88</v>
      </c>
      <c r="V10" s="154">
        <f t="shared" si="7"/>
        <v>607.56009695795672</v>
      </c>
      <c r="W10" s="200">
        <f t="shared" si="1"/>
        <v>92.936242484195844</v>
      </c>
      <c r="X10" s="163">
        <f t="shared" si="2"/>
        <v>700.49633944215259</v>
      </c>
      <c r="Y10" s="164">
        <v>697.27</v>
      </c>
      <c r="Z10" s="165">
        <f t="shared" si="8"/>
        <v>3.2263394421526073</v>
      </c>
      <c r="AA10" s="166">
        <f t="shared" si="9"/>
        <v>4.6271020439035198E-3</v>
      </c>
    </row>
    <row r="11" spans="1:27">
      <c r="A11" s="204">
        <v>60</v>
      </c>
      <c r="B11" s="154">
        <f t="shared" si="3"/>
        <v>5</v>
      </c>
      <c r="C11" s="207">
        <v>120</v>
      </c>
      <c r="D11" s="207">
        <v>1006.35</v>
      </c>
      <c r="E11" s="207">
        <v>0.42710999999999999</v>
      </c>
      <c r="F11" s="154">
        <f t="shared" si="4"/>
        <v>0.33545140956868413</v>
      </c>
      <c r="G11" s="154">
        <f t="shared" si="0"/>
        <v>1022.8284460571663</v>
      </c>
      <c r="H11" s="218">
        <v>0.15411</v>
      </c>
      <c r="T11" s="161">
        <f t="shared" si="5"/>
        <v>5</v>
      </c>
      <c r="U11" s="162">
        <f t="shared" si="6"/>
        <v>120</v>
      </c>
      <c r="V11" s="154">
        <f t="shared" si="7"/>
        <v>1022.8284460571663</v>
      </c>
      <c r="W11" s="200">
        <f t="shared" si="1"/>
        <v>155.55258667697842</v>
      </c>
      <c r="X11" s="163">
        <f t="shared" si="2"/>
        <v>1178.3810327341448</v>
      </c>
      <c r="Y11" s="164">
        <v>1161.43</v>
      </c>
      <c r="Z11" s="165">
        <f t="shared" si="8"/>
        <v>16.951032734144746</v>
      </c>
      <c r="AA11" s="166">
        <f t="shared" si="9"/>
        <v>1.4594967181960811E-2</v>
      </c>
    </row>
    <row r="12" spans="1:27">
      <c r="A12" s="204">
        <v>14</v>
      </c>
      <c r="B12" s="154">
        <f t="shared" si="3"/>
        <v>1.1666666666666667</v>
      </c>
      <c r="C12" s="207">
        <v>56</v>
      </c>
      <c r="D12" s="207">
        <v>26.43</v>
      </c>
      <c r="E12" s="207">
        <v>0.44148999999999999</v>
      </c>
      <c r="F12" s="154">
        <f t="shared" si="4"/>
        <v>0.34674543515833944</v>
      </c>
      <c r="G12" s="154">
        <f t="shared" si="0"/>
        <v>25.987419036859858</v>
      </c>
      <c r="H12" s="218">
        <v>0.16566</v>
      </c>
      <c r="T12" s="161">
        <f t="shared" si="5"/>
        <v>1.1666666666666667</v>
      </c>
      <c r="U12" s="162">
        <f t="shared" si="6"/>
        <v>56</v>
      </c>
      <c r="V12" s="154">
        <f t="shared" si="7"/>
        <v>25.987419036859858</v>
      </c>
      <c r="W12" s="200">
        <f t="shared" si="1"/>
        <v>4.2821776876360582</v>
      </c>
      <c r="X12" s="163">
        <f t="shared" si="2"/>
        <v>30.269596724495916</v>
      </c>
      <c r="Y12" s="164">
        <v>30.81</v>
      </c>
      <c r="Z12" s="165">
        <f t="shared" si="8"/>
        <v>0.54040327550408307</v>
      </c>
      <c r="AA12" s="166">
        <f t="shared" si="9"/>
        <v>1.7539866131258783E-2</v>
      </c>
    </row>
    <row r="13" spans="1:27">
      <c r="A13" s="204">
        <v>21</v>
      </c>
      <c r="B13" s="154">
        <f t="shared" si="3"/>
        <v>1.75</v>
      </c>
      <c r="C13" s="207">
        <v>76</v>
      </c>
      <c r="D13" s="207">
        <v>79.41</v>
      </c>
      <c r="E13" s="207">
        <v>0.43440000000000001</v>
      </c>
      <c r="F13" s="154">
        <f t="shared" si="4"/>
        <v>0.34117696217985155</v>
      </c>
      <c r="G13" s="154">
        <f t="shared" si="0"/>
        <v>79.35444027326848</v>
      </c>
      <c r="H13" s="218">
        <v>0.15878999999999999</v>
      </c>
      <c r="T13" s="161">
        <f t="shared" si="5"/>
        <v>1.75</v>
      </c>
      <c r="U13" s="162">
        <f t="shared" si="6"/>
        <v>76</v>
      </c>
      <c r="V13" s="154">
        <f t="shared" si="7"/>
        <v>79.35444027326848</v>
      </c>
      <c r="W13" s="200">
        <f t="shared" si="1"/>
        <v>12.787021940149302</v>
      </c>
      <c r="X13" s="163">
        <f t="shared" si="2"/>
        <v>92.141462213417782</v>
      </c>
      <c r="Y13" s="164">
        <v>92.02</v>
      </c>
      <c r="Z13" s="165">
        <f t="shared" si="8"/>
        <v>0.12146221341778585</v>
      </c>
      <c r="AA13" s="166">
        <f t="shared" si="9"/>
        <v>1.3199545035621153E-3</v>
      </c>
    </row>
    <row r="14" spans="1:27">
      <c r="A14" s="204">
        <v>72</v>
      </c>
      <c r="B14" s="154">
        <f t="shared" si="3"/>
        <v>6</v>
      </c>
      <c r="C14" s="207">
        <v>111</v>
      </c>
      <c r="D14" s="207">
        <v>1343.66</v>
      </c>
      <c r="E14" s="207">
        <v>0.42813000000000001</v>
      </c>
      <c r="F14" s="154">
        <f t="shared" si="4"/>
        <v>0.33625251569534953</v>
      </c>
      <c r="G14" s="154">
        <f t="shared" si="0"/>
        <v>1362.4074901481456</v>
      </c>
      <c r="H14" s="218">
        <v>0.15428</v>
      </c>
      <c r="T14" s="161">
        <f t="shared" si="5"/>
        <v>6</v>
      </c>
      <c r="U14" s="162">
        <f t="shared" si="6"/>
        <v>111</v>
      </c>
      <c r="V14" s="154">
        <f t="shared" si="7"/>
        <v>1362.4074901481456</v>
      </c>
      <c r="W14" s="200">
        <f t="shared" si="1"/>
        <v>205.12483644622222</v>
      </c>
      <c r="X14" s="163">
        <f t="shared" si="2"/>
        <v>1567.5323265943678</v>
      </c>
      <c r="Y14" s="164">
        <v>1550.96</v>
      </c>
      <c r="Z14" s="165">
        <f t="shared" si="8"/>
        <v>16.572326594367723</v>
      </c>
      <c r="AA14" s="166">
        <f t="shared" si="9"/>
        <v>1.0685205675431813E-2</v>
      </c>
    </row>
    <row r="15" spans="1:27">
      <c r="A15" s="204">
        <v>28</v>
      </c>
      <c r="B15" s="154">
        <f t="shared" si="3"/>
        <v>2.3333333333333335</v>
      </c>
      <c r="C15" s="207">
        <v>116</v>
      </c>
      <c r="D15" s="207">
        <v>212.07</v>
      </c>
      <c r="E15" s="207">
        <v>0.42753999999999998</v>
      </c>
      <c r="F15" s="154">
        <f t="shared" si="4"/>
        <v>0.33578913077894501</v>
      </c>
      <c r="G15" s="154">
        <f t="shared" si="0"/>
        <v>215.32432916255308</v>
      </c>
      <c r="H15" s="218">
        <v>0.15611</v>
      </c>
      <c r="T15" s="161">
        <f t="shared" si="5"/>
        <v>2.3333333333333335</v>
      </c>
      <c r="U15" s="162">
        <f t="shared" si="6"/>
        <v>116</v>
      </c>
      <c r="V15" s="154">
        <f t="shared" si="7"/>
        <v>215.32432916255308</v>
      </c>
      <c r="W15" s="200">
        <f t="shared" si="1"/>
        <v>34.151252724409467</v>
      </c>
      <c r="X15" s="163">
        <f t="shared" si="2"/>
        <v>249.47558188696254</v>
      </c>
      <c r="Y15" s="164">
        <v>245.18</v>
      </c>
      <c r="Z15" s="165">
        <f t="shared" si="8"/>
        <v>4.2955818869625375</v>
      </c>
      <c r="AA15" s="166">
        <f t="shared" si="9"/>
        <v>1.7520115372226679E-2</v>
      </c>
    </row>
    <row r="16" spans="1:27">
      <c r="A16" s="204">
        <v>11</v>
      </c>
      <c r="B16" s="154">
        <f t="shared" si="3"/>
        <v>0.91666666666666663</v>
      </c>
      <c r="C16" s="207">
        <v>41</v>
      </c>
      <c r="D16" s="207">
        <v>12.21</v>
      </c>
      <c r="E16" s="207">
        <v>0.45135999999999998</v>
      </c>
      <c r="F16" s="154">
        <f t="shared" si="4"/>
        <v>0.35449731503107224</v>
      </c>
      <c r="G16" s="154">
        <f t="shared" si="0"/>
        <v>11.74595352057778</v>
      </c>
      <c r="H16" s="218">
        <v>0.17215</v>
      </c>
      <c r="T16" s="161">
        <f t="shared" si="5"/>
        <v>0.91666666666666663</v>
      </c>
      <c r="U16" s="162">
        <f t="shared" si="6"/>
        <v>41</v>
      </c>
      <c r="V16" s="154">
        <f t="shared" si="7"/>
        <v>11.74595352057778</v>
      </c>
      <c r="W16" s="200">
        <f t="shared" si="1"/>
        <v>1.9613773884760517</v>
      </c>
      <c r="X16" s="163">
        <f t="shared" si="2"/>
        <v>13.707330909053832</v>
      </c>
      <c r="Y16" s="164">
        <v>14.32</v>
      </c>
      <c r="Z16" s="165">
        <f t="shared" si="8"/>
        <v>0.61266909094616828</v>
      </c>
      <c r="AA16" s="166">
        <f t="shared" si="9"/>
        <v>4.2784154395682145E-2</v>
      </c>
    </row>
    <row r="17" spans="1:27">
      <c r="A17" s="204">
        <v>19</v>
      </c>
      <c r="B17" s="154">
        <f t="shared" si="3"/>
        <v>1.5833333333333333</v>
      </c>
      <c r="C17" s="207">
        <v>68</v>
      </c>
      <c r="D17" s="207">
        <v>58.47</v>
      </c>
      <c r="E17" s="207">
        <v>0.43673000000000001</v>
      </c>
      <c r="F17" s="154">
        <f t="shared" si="4"/>
        <v>0.34300693990056758</v>
      </c>
      <c r="G17" s="154">
        <f t="shared" si="0"/>
        <v>58.121279383822483</v>
      </c>
      <c r="H17" s="218">
        <v>0.16009999999999999</v>
      </c>
      <c r="T17" s="161">
        <f t="shared" si="5"/>
        <v>1.5833333333333333</v>
      </c>
      <c r="U17" s="162">
        <f t="shared" si="6"/>
        <v>68</v>
      </c>
      <c r="V17" s="154">
        <f t="shared" si="7"/>
        <v>58.121279383822483</v>
      </c>
      <c r="W17" s="200">
        <f t="shared" si="1"/>
        <v>9.4173450427982992</v>
      </c>
      <c r="X17" s="163">
        <f t="shared" si="2"/>
        <v>67.538624426620785</v>
      </c>
      <c r="Y17" s="164">
        <v>67.84</v>
      </c>
      <c r="Z17" s="165">
        <f t="shared" si="8"/>
        <v>0.30137557337921805</v>
      </c>
      <c r="AA17" s="166">
        <f t="shared" si="9"/>
        <v>4.4424465415568697E-3</v>
      </c>
    </row>
    <row r="18" spans="1:27" ht="17" thickBot="1">
      <c r="A18" s="205">
        <v>38</v>
      </c>
      <c r="B18" s="182">
        <f t="shared" si="3"/>
        <v>3.1666666666666665</v>
      </c>
      <c r="C18" s="208">
        <v>104</v>
      </c>
      <c r="D18" s="208">
        <v>351.42</v>
      </c>
      <c r="E18" s="208">
        <v>0.42903999999999998</v>
      </c>
      <c r="F18" s="182">
        <f t="shared" si="4"/>
        <v>0.33696722802404117</v>
      </c>
      <c r="G18" s="222">
        <f t="shared" si="0"/>
        <v>355.56547387750231</v>
      </c>
      <c r="H18" s="219">
        <v>0.15462000000000001</v>
      </c>
      <c r="T18" s="161">
        <f t="shared" si="5"/>
        <v>3.1666666666666665</v>
      </c>
      <c r="U18" s="162">
        <f t="shared" si="6"/>
        <v>104</v>
      </c>
      <c r="V18" s="154">
        <f t="shared" si="7"/>
        <v>355.56547387750231</v>
      </c>
      <c r="W18" s="200">
        <f t="shared" si="1"/>
        <v>55.452981554279923</v>
      </c>
      <c r="X18" s="163">
        <f t="shared" si="2"/>
        <v>411.01845543178223</v>
      </c>
      <c r="Y18" s="164">
        <v>405.76</v>
      </c>
      <c r="Z18" s="165">
        <f t="shared" si="8"/>
        <v>5.2584554317822381</v>
      </c>
      <c r="AA18" s="166">
        <f t="shared" si="9"/>
        <v>1.2959521470283513E-2</v>
      </c>
    </row>
    <row r="19" spans="1:27" ht="17" thickBot="1">
      <c r="B19" s="121">
        <f>AVERAGE(B3:B18)</f>
        <v>2.671875</v>
      </c>
      <c r="C19" s="121">
        <f t="shared" ref="C19:E19" si="10">AVERAGE(C3:C18)</f>
        <v>88.4375</v>
      </c>
      <c r="D19" s="121">
        <f t="shared" si="10"/>
        <v>328.02624999999995</v>
      </c>
      <c r="E19" s="121">
        <f t="shared" si="10"/>
        <v>0.43410187499999997</v>
      </c>
      <c r="F19" s="121">
        <f>AVERAGE(F3:F18)</f>
        <v>0.34094281535238874</v>
      </c>
      <c r="G19" s="77">
        <f>AVERAGE(G3:G18)</f>
        <v>331.86299321384394</v>
      </c>
      <c r="H19" s="121">
        <f>AVERAGE(H3:H18)</f>
        <v>0.15891062499999997</v>
      </c>
      <c r="T19" s="161"/>
      <c r="U19" s="162"/>
      <c r="V19" s="154"/>
      <c r="W19" s="200"/>
      <c r="X19" s="163"/>
      <c r="Y19" s="164"/>
      <c r="Z19" s="165"/>
      <c r="AA19" s="166"/>
    </row>
    <row r="20" spans="1:27">
      <c r="T20" s="161"/>
      <c r="U20" s="162"/>
      <c r="V20" s="154"/>
      <c r="W20" s="200"/>
      <c r="X20" s="163"/>
      <c r="Y20" s="164"/>
      <c r="Z20" s="165"/>
      <c r="AA20" s="166"/>
    </row>
    <row r="21" spans="1:27">
      <c r="E21" s="220" t="s">
        <v>246</v>
      </c>
      <c r="F21" s="221">
        <f>(D19-G19)/D19</f>
        <v>-1.1696451774344245E-2</v>
      </c>
      <c r="T21" s="161"/>
      <c r="U21" s="162"/>
      <c r="V21" s="154"/>
      <c r="W21" s="200"/>
      <c r="X21" s="163"/>
      <c r="Y21" s="164"/>
      <c r="Z21" s="165"/>
      <c r="AA21" s="166"/>
    </row>
    <row r="22" spans="1:27" ht="17" thickBot="1">
      <c r="T22" s="161"/>
      <c r="U22" s="162"/>
      <c r="V22" s="154"/>
      <c r="W22" s="200"/>
      <c r="X22" s="163"/>
      <c r="Y22" s="164"/>
      <c r="Z22" s="165"/>
      <c r="AA22" s="166"/>
    </row>
    <row r="23" spans="1:27" ht="17" thickBot="1">
      <c r="A23" s="61" t="s">
        <v>241</v>
      </c>
      <c r="B23" s="65"/>
      <c r="T23" s="161"/>
      <c r="U23" s="162"/>
      <c r="V23" s="154"/>
      <c r="W23" s="200"/>
      <c r="X23" s="163"/>
      <c r="Y23" s="164"/>
      <c r="Z23" s="165"/>
      <c r="AA23" s="166"/>
    </row>
    <row r="24" spans="1:27" ht="17" thickBot="1">
      <c r="A24" s="202" t="s">
        <v>186</v>
      </c>
      <c r="B24" s="75" t="s">
        <v>188</v>
      </c>
      <c r="C24" s="75" t="s">
        <v>242</v>
      </c>
      <c r="D24" s="75" t="s">
        <v>19</v>
      </c>
      <c r="E24" s="75" t="s">
        <v>243</v>
      </c>
      <c r="F24" s="75" t="s">
        <v>244</v>
      </c>
      <c r="T24" s="161"/>
      <c r="U24" s="162"/>
      <c r="V24" s="154"/>
      <c r="W24" s="200"/>
      <c r="X24" s="163"/>
      <c r="Y24" s="164"/>
      <c r="Z24" s="165"/>
      <c r="AA24" s="166"/>
    </row>
    <row r="25" spans="1:27" ht="17" thickBot="1">
      <c r="A25" s="213">
        <v>38</v>
      </c>
      <c r="B25" s="216">
        <v>104</v>
      </c>
      <c r="C25" s="214">
        <f>BioMass!K7</f>
        <v>351.42215094737401</v>
      </c>
      <c r="D25" s="215">
        <f>BioMass!P2</f>
        <v>0.42904338539726988</v>
      </c>
      <c r="E25" s="215">
        <f>BioMass!N36</f>
        <v>0.15461768839629436</v>
      </c>
      <c r="F25" s="214">
        <f>BioMass!L38</f>
        <v>405.75823157811061</v>
      </c>
      <c r="T25" s="161"/>
      <c r="U25" s="162"/>
      <c r="V25" s="154"/>
      <c r="W25" s="200"/>
      <c r="X25" s="163"/>
      <c r="Y25" s="164"/>
      <c r="Z25" s="165"/>
      <c r="AA25" s="166"/>
    </row>
    <row r="26" spans="1:27">
      <c r="T26" s="161"/>
      <c r="U26" s="162"/>
      <c r="V26" s="154"/>
      <c r="W26" s="200"/>
      <c r="X26" s="163"/>
      <c r="Y26" s="164"/>
      <c r="Z26" s="165"/>
      <c r="AA26" s="166"/>
    </row>
    <row r="27" spans="1:27">
      <c r="T27" s="161"/>
      <c r="U27" s="162"/>
      <c r="V27" s="154"/>
      <c r="W27" s="200"/>
      <c r="X27" s="163"/>
      <c r="Y27" s="164"/>
      <c r="Z27" s="165"/>
      <c r="AA27" s="166"/>
    </row>
    <row r="28" spans="1:27" ht="17" thickBot="1">
      <c r="T28" s="161"/>
      <c r="U28" s="162"/>
      <c r="V28" s="154"/>
      <c r="W28" s="200"/>
      <c r="X28" s="163"/>
      <c r="Y28" s="164"/>
      <c r="Z28" s="165"/>
      <c r="AA28" s="166"/>
    </row>
    <row r="29" spans="1:27" ht="20" thickBot="1">
      <c r="A29" s="104" t="s">
        <v>236</v>
      </c>
      <c r="B29" s="195"/>
      <c r="C29" s="196"/>
      <c r="T29" s="161"/>
      <c r="U29" s="162"/>
      <c r="V29" s="154"/>
      <c r="W29" s="200"/>
      <c r="X29" s="163"/>
      <c r="Y29" s="164"/>
      <c r="Z29" s="165"/>
      <c r="AA29" s="166"/>
    </row>
    <row r="30" spans="1:27">
      <c r="A30" s="193"/>
      <c r="B30" s="192" t="s">
        <v>198</v>
      </c>
      <c r="C30" s="174" t="s">
        <v>199</v>
      </c>
      <c r="D30" s="174" t="s">
        <v>200</v>
      </c>
      <c r="E30" s="174" t="s">
        <v>201</v>
      </c>
      <c r="F30" s="175"/>
      <c r="G30" s="176"/>
      <c r="T30" s="161"/>
      <c r="U30" s="162"/>
      <c r="V30" s="154"/>
      <c r="W30" s="200"/>
      <c r="X30" s="163"/>
      <c r="Y30" s="164"/>
      <c r="Z30" s="165"/>
      <c r="AA30" s="166"/>
    </row>
    <row r="31" spans="1:27" ht="17" thickBot="1">
      <c r="A31" s="70" t="s">
        <v>186</v>
      </c>
      <c r="B31" s="190" t="s">
        <v>187</v>
      </c>
      <c r="C31" s="177" t="s">
        <v>202</v>
      </c>
      <c r="D31" s="177" t="s">
        <v>203</v>
      </c>
      <c r="E31" s="177" t="s">
        <v>204</v>
      </c>
      <c r="F31" s="177" t="s">
        <v>205</v>
      </c>
      <c r="G31" s="178" t="s">
        <v>206</v>
      </c>
      <c r="T31" s="167"/>
      <c r="U31" s="168"/>
      <c r="V31" s="182"/>
      <c r="W31" s="201"/>
      <c r="X31" s="169"/>
      <c r="Y31" s="170"/>
      <c r="Z31" s="171"/>
      <c r="AA31" s="172"/>
    </row>
    <row r="32" spans="1:27" ht="17" thickBot="1">
      <c r="A32" s="179">
        <f>A3</f>
        <v>36</v>
      </c>
      <c r="B32" s="191">
        <f t="shared" ref="B32:B47" si="11">A3/12</f>
        <v>3</v>
      </c>
      <c r="C32" s="154">
        <v>0.15479899999999999</v>
      </c>
      <c r="D32" s="154">
        <f>LN(A32)</f>
        <v>3.5835189384561099</v>
      </c>
      <c r="E32" s="154">
        <f>LN(C32)</f>
        <v>-1.8656277777956964</v>
      </c>
      <c r="F32" s="154">
        <f t="shared" ref="F32:F47" si="12">$M$36*(B32)^($M$37)</f>
        <v>0.19057149194763801</v>
      </c>
      <c r="G32" s="180">
        <f>C32-F32</f>
        <v>-3.5772491947638013E-2</v>
      </c>
      <c r="V32" s="121">
        <f>AVERAGE(V3:V31)</f>
        <v>331.86299321384394</v>
      </c>
      <c r="X32" s="77">
        <f>AVERAGE(X3:X31)</f>
        <v>382.9375260010454</v>
      </c>
      <c r="Y32" s="77">
        <f>AVERAGE(Y3:Y31)</f>
        <v>378.83187500000003</v>
      </c>
      <c r="Z32" s="77">
        <f>AVERAGE(Z3:Z31)</f>
        <v>4.3769458176091431</v>
      </c>
    </row>
    <row r="33" spans="1:27" ht="17" thickBot="1">
      <c r="A33" s="179">
        <f t="shared" ref="A33:A47" si="13">A4</f>
        <v>24</v>
      </c>
      <c r="B33" s="191">
        <f t="shared" si="11"/>
        <v>2</v>
      </c>
      <c r="C33" s="154">
        <v>0.15739400000000001</v>
      </c>
      <c r="D33" s="154">
        <f t="shared" ref="D33:D47" si="14">LN(A33)</f>
        <v>3.1780538303479458</v>
      </c>
      <c r="E33" s="154">
        <f t="shared" ref="E33:E46" si="15">LN(C33)</f>
        <v>-1.8490030631663135</v>
      </c>
      <c r="F33" s="154">
        <f t="shared" si="12"/>
        <v>0.19057149194763801</v>
      </c>
      <c r="G33" s="180">
        <f t="shared" ref="G33:G46" si="16">C33-F33</f>
        <v>-3.3177491947637999E-2</v>
      </c>
      <c r="AA33" s="173"/>
    </row>
    <row r="34" spans="1:27" ht="17" thickBot="1">
      <c r="A34" s="179">
        <f t="shared" si="13"/>
        <v>12</v>
      </c>
      <c r="B34" s="191">
        <f t="shared" si="11"/>
        <v>1</v>
      </c>
      <c r="C34" s="154">
        <v>0.16955700000000001</v>
      </c>
      <c r="D34" s="154">
        <f t="shared" si="14"/>
        <v>2.4849066497880004</v>
      </c>
      <c r="E34" s="154">
        <f t="shared" si="15"/>
        <v>-1.7745661255063088</v>
      </c>
      <c r="F34" s="154">
        <f t="shared" si="12"/>
        <v>0.19057149194763801</v>
      </c>
      <c r="G34" s="180">
        <f t="shared" si="16"/>
        <v>-2.1014491947637992E-2</v>
      </c>
      <c r="U34" s="77"/>
      <c r="V34" s="173"/>
      <c r="X34" s="77" t="s">
        <v>237</v>
      </c>
      <c r="Y34" s="173">
        <f>(Y32-X32)/Y32</f>
        <v>-1.0837659848568375E-2</v>
      </c>
    </row>
    <row r="35" spans="1:27" ht="17" thickBot="1">
      <c r="A35" s="179">
        <f t="shared" si="13"/>
        <v>40</v>
      </c>
      <c r="B35" s="191">
        <f t="shared" si="11"/>
        <v>3.3333333333333335</v>
      </c>
      <c r="C35" s="154">
        <v>0.154473</v>
      </c>
      <c r="D35" s="154">
        <f t="shared" si="14"/>
        <v>3.6888794541139363</v>
      </c>
      <c r="E35" s="154">
        <f t="shared" si="15"/>
        <v>-1.8677359551977233</v>
      </c>
      <c r="F35" s="154">
        <f t="shared" si="12"/>
        <v>0.19057149194763801</v>
      </c>
      <c r="G35" s="180">
        <f t="shared" si="16"/>
        <v>-3.6098491947638006E-2</v>
      </c>
      <c r="X35" s="61" t="s">
        <v>249</v>
      </c>
      <c r="Y35" s="65"/>
    </row>
    <row r="36" spans="1:27" ht="21">
      <c r="A36" s="179">
        <f t="shared" si="13"/>
        <v>48</v>
      </c>
      <c r="B36" s="191">
        <f t="shared" si="11"/>
        <v>4</v>
      </c>
      <c r="C36" s="154">
        <v>0.15415499999999999</v>
      </c>
      <c r="D36" s="154">
        <f t="shared" si="14"/>
        <v>3.8712010109078911</v>
      </c>
      <c r="E36" s="154">
        <f t="shared" si="15"/>
        <v>-1.869796689236991</v>
      </c>
      <c r="F36" s="154">
        <f t="shared" si="12"/>
        <v>0.19057149194763801</v>
      </c>
      <c r="G36" s="180">
        <f t="shared" si="16"/>
        <v>-3.6416491947638019E-2</v>
      </c>
      <c r="M36" s="209">
        <f>EXP(L57)</f>
        <v>0.19057149194763801</v>
      </c>
      <c r="N36" s="209" t="s">
        <v>239</v>
      </c>
    </row>
    <row r="37" spans="1:27" ht="21">
      <c r="A37" s="179">
        <f t="shared" si="13"/>
        <v>16</v>
      </c>
      <c r="B37" s="191">
        <f t="shared" si="11"/>
        <v>1.3333333333333333</v>
      </c>
      <c r="C37" s="154">
        <v>0.162909</v>
      </c>
      <c r="D37" s="154">
        <f t="shared" si="14"/>
        <v>2.7725887222397811</v>
      </c>
      <c r="E37" s="154">
        <f t="shared" si="15"/>
        <v>-1.8145635162815019</v>
      </c>
      <c r="F37" s="154">
        <f t="shared" si="12"/>
        <v>0.19057149194763801</v>
      </c>
      <c r="G37" s="180">
        <f t="shared" si="16"/>
        <v>-2.7662491947638007E-2</v>
      </c>
      <c r="M37" s="209"/>
      <c r="N37" s="209"/>
    </row>
    <row r="38" spans="1:27" ht="21">
      <c r="A38" s="179">
        <f t="shared" si="13"/>
        <v>20</v>
      </c>
      <c r="B38" s="191">
        <f t="shared" si="11"/>
        <v>1.6666666666666667</v>
      </c>
      <c r="C38" s="154">
        <v>0.15939900000000001</v>
      </c>
      <c r="D38" s="154">
        <f t="shared" si="14"/>
        <v>2.9957322735539909</v>
      </c>
      <c r="E38" s="154">
        <f t="shared" si="15"/>
        <v>-1.8363447861714224</v>
      </c>
      <c r="F38" s="154">
        <f t="shared" si="12"/>
        <v>0.19057149194763801</v>
      </c>
      <c r="G38" s="180">
        <f t="shared" si="16"/>
        <v>-3.1172491947637992E-2</v>
      </c>
      <c r="M38" s="209">
        <f>L58</f>
        <v>-5.5104139406514936E-2</v>
      </c>
      <c r="N38" s="209" t="s">
        <v>240</v>
      </c>
    </row>
    <row r="39" spans="1:27">
      <c r="A39" s="179">
        <f t="shared" si="13"/>
        <v>54</v>
      </c>
      <c r="B39" s="191">
        <f t="shared" si="11"/>
        <v>4.5</v>
      </c>
      <c r="C39" s="154">
        <v>0.154089</v>
      </c>
      <c r="D39" s="154">
        <f t="shared" si="14"/>
        <v>3.9889840465642745</v>
      </c>
      <c r="E39" s="154">
        <f t="shared" si="15"/>
        <v>-1.8702249214232369</v>
      </c>
      <c r="F39" s="154">
        <f t="shared" si="12"/>
        <v>0.19057149194763801</v>
      </c>
      <c r="G39" s="180">
        <f t="shared" si="16"/>
        <v>-3.6482491947638002E-2</v>
      </c>
    </row>
    <row r="40" spans="1:27">
      <c r="A40" s="179">
        <f t="shared" si="13"/>
        <v>60</v>
      </c>
      <c r="B40" s="191">
        <f t="shared" si="11"/>
        <v>5</v>
      </c>
      <c r="C40" s="154">
        <v>0.15410799999999999</v>
      </c>
      <c r="D40" s="154">
        <f t="shared" si="14"/>
        <v>4.0943445622221004</v>
      </c>
      <c r="E40" s="154">
        <f t="shared" si="15"/>
        <v>-1.870101623662233</v>
      </c>
      <c r="F40" s="154">
        <f t="shared" si="12"/>
        <v>0.19057149194763801</v>
      </c>
      <c r="G40" s="180">
        <f t="shared" si="16"/>
        <v>-3.646349194763801E-2</v>
      </c>
    </row>
    <row r="41" spans="1:27">
      <c r="A41" s="179">
        <f t="shared" si="13"/>
        <v>14</v>
      </c>
      <c r="B41" s="191">
        <f t="shared" si="11"/>
        <v>1.1666666666666667</v>
      </c>
      <c r="C41" s="154">
        <v>0.165659</v>
      </c>
      <c r="D41" s="154">
        <f t="shared" si="14"/>
        <v>2.6390573296152584</v>
      </c>
      <c r="E41" s="154">
        <f t="shared" si="15"/>
        <v>-1.7978238202904582</v>
      </c>
      <c r="F41" s="154">
        <f t="shared" si="12"/>
        <v>0.19057149194763801</v>
      </c>
      <c r="G41" s="180">
        <f t="shared" si="16"/>
        <v>-2.4912491947638005E-2</v>
      </c>
      <c r="K41" s="223" t="s">
        <v>209</v>
      </c>
    </row>
    <row r="42" spans="1:27" ht="17" thickBot="1">
      <c r="A42" s="179">
        <f t="shared" si="13"/>
        <v>21</v>
      </c>
      <c r="B42" s="191">
        <f t="shared" si="11"/>
        <v>1.75</v>
      </c>
      <c r="C42" s="154">
        <v>0.15878700000000001</v>
      </c>
      <c r="D42" s="154">
        <f t="shared" si="14"/>
        <v>3.044522437723423</v>
      </c>
      <c r="E42" s="154">
        <f t="shared" si="15"/>
        <v>-1.840191597499989</v>
      </c>
      <c r="F42" s="154">
        <f t="shared" si="12"/>
        <v>0.19057149194763801</v>
      </c>
      <c r="G42" s="180">
        <f t="shared" si="16"/>
        <v>-3.1784491947637994E-2</v>
      </c>
    </row>
    <row r="43" spans="1:27">
      <c r="A43" s="179">
        <f t="shared" si="13"/>
        <v>72</v>
      </c>
      <c r="B43" s="191">
        <f t="shared" si="11"/>
        <v>6</v>
      </c>
      <c r="C43" s="154">
        <v>0.154283</v>
      </c>
      <c r="D43" s="154">
        <f t="shared" si="14"/>
        <v>4.2766661190160553</v>
      </c>
      <c r="E43" s="154">
        <f t="shared" si="15"/>
        <v>-1.8689667006665289</v>
      </c>
      <c r="F43" s="154">
        <f t="shared" si="12"/>
        <v>0.19057149194763801</v>
      </c>
      <c r="G43" s="180">
        <f t="shared" si="16"/>
        <v>-3.6288491947638002E-2</v>
      </c>
      <c r="K43" s="189" t="s">
        <v>210</v>
      </c>
      <c r="L43" s="189"/>
    </row>
    <row r="44" spans="1:27">
      <c r="A44" s="179">
        <f t="shared" si="13"/>
        <v>28</v>
      </c>
      <c r="B44" s="191">
        <f t="shared" si="11"/>
        <v>2.3333333333333335</v>
      </c>
      <c r="C44" s="154">
        <v>0.15610599999999999</v>
      </c>
      <c r="D44" s="154">
        <f t="shared" si="14"/>
        <v>3.3322045101752038</v>
      </c>
      <c r="E44" s="154">
        <f t="shared" si="15"/>
        <v>-1.857220015300006</v>
      </c>
      <c r="F44" s="154">
        <f t="shared" si="12"/>
        <v>0.19057149194763801</v>
      </c>
      <c r="G44" s="180">
        <f t="shared" si="16"/>
        <v>-3.4465491947638011E-2</v>
      </c>
      <c r="K44" s="186" t="s">
        <v>211</v>
      </c>
      <c r="L44" s="186">
        <v>0.90540792401189585</v>
      </c>
    </row>
    <row r="45" spans="1:27">
      <c r="A45" s="179">
        <f t="shared" si="13"/>
        <v>11</v>
      </c>
      <c r="B45" s="191">
        <f t="shared" si="11"/>
        <v>0.91666666666666663</v>
      </c>
      <c r="C45" s="154">
        <v>0.17214699999999999</v>
      </c>
      <c r="D45" s="154">
        <f t="shared" si="14"/>
        <v>2.3978952727983707</v>
      </c>
      <c r="E45" s="154">
        <f t="shared" si="15"/>
        <v>-1.7594065160122445</v>
      </c>
      <c r="F45" s="154">
        <f t="shared" si="12"/>
        <v>0.19057149194763801</v>
      </c>
      <c r="G45" s="180">
        <f t="shared" si="16"/>
        <v>-1.8424491947638011E-2</v>
      </c>
      <c r="K45" s="186" t="s">
        <v>212</v>
      </c>
      <c r="L45" s="186">
        <v>0.81976350886353089</v>
      </c>
    </row>
    <row r="46" spans="1:27">
      <c r="A46" s="179">
        <f t="shared" si="13"/>
        <v>19</v>
      </c>
      <c r="B46" s="191">
        <f t="shared" si="11"/>
        <v>1.5833333333333333</v>
      </c>
      <c r="C46" s="154">
        <v>0.16009799999999999</v>
      </c>
      <c r="D46" s="154">
        <f t="shared" si="14"/>
        <v>2.9444389791664403</v>
      </c>
      <c r="E46" s="154">
        <f t="shared" si="15"/>
        <v>-1.8319691512498759</v>
      </c>
      <c r="F46" s="154">
        <f t="shared" si="12"/>
        <v>0.19057149194763801</v>
      </c>
      <c r="G46" s="180">
        <f t="shared" si="16"/>
        <v>-3.0473491947638015E-2</v>
      </c>
      <c r="K46" s="186" t="s">
        <v>213</v>
      </c>
      <c r="L46" s="186">
        <v>0.80688947378235454</v>
      </c>
    </row>
    <row r="47" spans="1:27" ht="17" thickBot="1">
      <c r="A47" s="181">
        <f t="shared" si="13"/>
        <v>38</v>
      </c>
      <c r="B47" s="194">
        <f t="shared" si="11"/>
        <v>3.1666666666666665</v>
      </c>
      <c r="C47" s="182">
        <v>0.15461800000000001</v>
      </c>
      <c r="D47" s="182">
        <f t="shared" si="14"/>
        <v>3.6375861597263857</v>
      </c>
      <c r="E47" s="182">
        <f t="shared" ref="E47" si="17">LN(C47)</f>
        <v>-1.8667977201107309</v>
      </c>
      <c r="F47" s="182">
        <f t="shared" si="12"/>
        <v>0.19057149194763801</v>
      </c>
      <c r="G47" s="183">
        <f t="shared" ref="G47" si="18">C47-F47</f>
        <v>-3.5953491947638E-2</v>
      </c>
      <c r="K47" s="186" t="s">
        <v>214</v>
      </c>
      <c r="L47" s="186">
        <v>1.5782878586687244E-2</v>
      </c>
    </row>
    <row r="48" spans="1:27" ht="17" thickBot="1">
      <c r="C48" s="121">
        <f>AVERAGE(C32:C47)</f>
        <v>0.15891131249999998</v>
      </c>
      <c r="K48" s="187" t="s">
        <v>215</v>
      </c>
      <c r="L48" s="187">
        <v>16</v>
      </c>
    </row>
    <row r="49" spans="6:19" ht="17" thickBot="1">
      <c r="F49" s="184" t="s">
        <v>207</v>
      </c>
      <c r="G49" s="185">
        <f>AVERAGE(G32:G47)</f>
        <v>-3.1660179447638E-2</v>
      </c>
    </row>
    <row r="50" spans="6:19" ht="17" thickBot="1">
      <c r="K50" t="s">
        <v>216</v>
      </c>
    </row>
    <row r="51" spans="6:19">
      <c r="K51" s="188"/>
      <c r="L51" s="188" t="s">
        <v>221</v>
      </c>
      <c r="M51" s="188" t="s">
        <v>222</v>
      </c>
      <c r="N51" s="188" t="s">
        <v>223</v>
      </c>
      <c r="O51" s="188" t="s">
        <v>224</v>
      </c>
      <c r="P51" s="188" t="s">
        <v>225</v>
      </c>
    </row>
    <row r="52" spans="6:19">
      <c r="K52" s="186" t="s">
        <v>217</v>
      </c>
      <c r="L52" s="186">
        <v>1</v>
      </c>
      <c r="M52" s="186">
        <v>1.586157558694587E-2</v>
      </c>
      <c r="N52" s="186">
        <v>1.586157558694587E-2</v>
      </c>
      <c r="O52" s="186">
        <v>63.675724331537623</v>
      </c>
      <c r="P52" s="186">
        <v>1.4105326969054051E-6</v>
      </c>
    </row>
    <row r="53" spans="6:19">
      <c r="K53" s="186" t="s">
        <v>218</v>
      </c>
      <c r="L53" s="186">
        <v>14</v>
      </c>
      <c r="M53" s="186">
        <v>3.4873895907495504E-3</v>
      </c>
      <c r="N53" s="186">
        <v>2.4909925648211075E-4</v>
      </c>
      <c r="O53" s="186"/>
      <c r="P53" s="186"/>
    </row>
    <row r="54" spans="6:19" ht="17" thickBot="1">
      <c r="K54" s="187" t="s">
        <v>219</v>
      </c>
      <c r="L54" s="187">
        <v>15</v>
      </c>
      <c r="M54" s="187">
        <v>1.934896517769542E-2</v>
      </c>
      <c r="N54" s="187"/>
      <c r="O54" s="187"/>
      <c r="P54" s="187"/>
    </row>
    <row r="55" spans="6:19" ht="17" thickBot="1"/>
    <row r="56" spans="6:19">
      <c r="K56" s="188"/>
      <c r="L56" s="188" t="s">
        <v>226</v>
      </c>
      <c r="M56" s="188" t="s">
        <v>214</v>
      </c>
      <c r="N56" s="188" t="s">
        <v>227</v>
      </c>
      <c r="O56" s="188" t="s">
        <v>228</v>
      </c>
      <c r="P56" s="188" t="s">
        <v>229</v>
      </c>
      <c r="Q56" s="188" t="s">
        <v>230</v>
      </c>
      <c r="R56" s="188" t="s">
        <v>231</v>
      </c>
      <c r="S56" s="188" t="s">
        <v>232</v>
      </c>
    </row>
    <row r="57" spans="6:19">
      <c r="K57" s="186" t="s">
        <v>220</v>
      </c>
      <c r="L57" s="186">
        <v>-1.6577278690031165</v>
      </c>
      <c r="M57" s="186">
        <v>2.3182868549730153E-2</v>
      </c>
      <c r="N57" s="186">
        <v>-71.506589680525636</v>
      </c>
      <c r="O57" s="186">
        <v>2.3734809672956206E-19</v>
      </c>
      <c r="P57" s="186">
        <v>-1.7074501768563262</v>
      </c>
      <c r="Q57" s="186">
        <v>-1.6080055611499069</v>
      </c>
      <c r="R57" s="186">
        <v>-1.7074501768563262</v>
      </c>
      <c r="S57" s="186">
        <v>-1.6080055611499069</v>
      </c>
    </row>
    <row r="58" spans="6:19" ht="17" thickBot="1">
      <c r="K58" s="187" t="s">
        <v>233</v>
      </c>
      <c r="L58" s="187">
        <v>-5.5104139406514936E-2</v>
      </c>
      <c r="M58" s="187">
        <v>6.9055341479396324E-3</v>
      </c>
      <c r="N58" s="187">
        <v>-7.9797070329390909</v>
      </c>
      <c r="O58" s="187">
        <v>1.4105326969054076E-6</v>
      </c>
      <c r="P58" s="187">
        <v>-6.991503711997768E-2</v>
      </c>
      <c r="Q58" s="187">
        <v>-4.0293241693052192E-2</v>
      </c>
      <c r="R58" s="187">
        <v>-6.991503711997768E-2</v>
      </c>
      <c r="S58" s="187">
        <v>-4.0293241693052192E-2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BioMass</vt:lpstr>
      <vt:lpstr>Coeff_1</vt:lpstr>
      <vt:lpstr>Coeff_2</vt:lpstr>
      <vt:lpstr>foVSF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2019-08-27T23:46:44Z</dcterms:created>
  <dcterms:modified xsi:type="dcterms:W3CDTF">2020-02-09T13:37:31Z</dcterms:modified>
</cp:coreProperties>
</file>